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200073\Downloads\"/>
    </mc:Choice>
  </mc:AlternateContent>
  <bookViews>
    <workbookView xWindow="0" yWindow="0" windowWidth="23040" windowHeight="9192"/>
  </bookViews>
  <sheets>
    <sheet name="Forside" sheetId="2" r:id="rId1"/>
    <sheet name="Indsatsen" sheetId="6" r:id="rId2"/>
    <sheet name="Generelle antagelser" sheetId="4" r:id="rId3"/>
    <sheet name="Input" sheetId="7" r:id="rId4"/>
    <sheet name="Resultater" sheetId="8" r:id="rId5"/>
    <sheet name="SØM" sheetId="10" r:id="rId6"/>
  </sheets>
  <definedNames>
    <definedName name="antalkonsår" localSheetId="5">SØM!$E$5927</definedName>
    <definedName name="dropnr_varighed" localSheetId="5">SØM!$C$106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0" l="1"/>
  <c r="G19" i="10"/>
  <c r="G18" i="10"/>
  <c r="G16" i="10"/>
  <c r="J20" i="10"/>
  <c r="I20" i="10"/>
  <c r="H20" i="10"/>
  <c r="F20" i="10"/>
  <c r="E20" i="10"/>
  <c r="J19" i="10"/>
  <c r="I19" i="10"/>
  <c r="H19" i="10"/>
  <c r="F19" i="10"/>
  <c r="E19" i="10"/>
  <c r="J18" i="10"/>
  <c r="I18" i="10"/>
  <c r="H18" i="10"/>
  <c r="F18" i="10"/>
  <c r="E18" i="10"/>
  <c r="J16" i="10"/>
  <c r="I16" i="10"/>
  <c r="H16" i="10"/>
  <c r="F16" i="10"/>
  <c r="E16" i="10"/>
  <c r="E19" i="7" l="1"/>
  <c r="E24" i="6"/>
  <c r="F24" i="6"/>
  <c r="G24" i="6"/>
  <c r="H24" i="6"/>
  <c r="I24" i="6"/>
  <c r="D24" i="6"/>
  <c r="G10" i="7"/>
  <c r="G16" i="7"/>
  <c r="E20" i="7" l="1"/>
  <c r="D14" i="4" l="1"/>
  <c r="I13" i="8" l="1"/>
  <c r="H13" i="8"/>
  <c r="G13" i="8"/>
  <c r="E17" i="6"/>
  <c r="F18" i="7"/>
  <c r="F14" i="7"/>
  <c r="F12" i="7"/>
  <c r="F8" i="7"/>
  <c r="D8" i="7"/>
  <c r="G18" i="7" l="1"/>
  <c r="G8" i="7"/>
  <c r="D19" i="7"/>
  <c r="D20" i="7" s="1"/>
  <c r="G12" i="7"/>
  <c r="F19" i="7"/>
  <c r="G14" i="7"/>
  <c r="D13" i="8"/>
  <c r="D18" i="4"/>
  <c r="G19" i="7" l="1"/>
  <c r="F20" i="7"/>
  <c r="J23" i="6"/>
  <c r="J22" i="6"/>
  <c r="J21" i="6"/>
  <c r="D9" i="6"/>
  <c r="G20" i="7" l="1"/>
  <c r="J24" i="6"/>
  <c r="D19" i="4"/>
  <c r="D15" i="4"/>
  <c r="G6" i="8" s="1"/>
  <c r="H6" i="8" l="1"/>
  <c r="I6" i="8"/>
  <c r="H7" i="8"/>
  <c r="I7" i="8"/>
  <c r="G7" i="8"/>
  <c r="D30" i="4"/>
  <c r="D31" i="4" s="1"/>
  <c r="G10" i="8" s="1"/>
  <c r="D22" i="4"/>
  <c r="D23" i="4" s="1"/>
  <c r="D26" i="4"/>
  <c r="D27" i="4" s="1"/>
  <c r="D6" i="8" l="1"/>
  <c r="D7" i="8"/>
  <c r="H10" i="8"/>
  <c r="I10" i="8"/>
  <c r="I9" i="8"/>
  <c r="G9" i="8"/>
  <c r="H9" i="8"/>
  <c r="G8" i="8"/>
  <c r="G15" i="8" s="1"/>
  <c r="G16" i="8" s="1"/>
  <c r="H11" i="8"/>
  <c r="I8" i="8"/>
  <c r="H8" i="8"/>
  <c r="I11" i="8"/>
  <c r="H15" i="8" l="1"/>
  <c r="H16" i="8" s="1"/>
  <c r="I15" i="8"/>
  <c r="I16" i="8" s="1"/>
  <c r="D10" i="8"/>
  <c r="D11" i="8"/>
  <c r="D8" i="8"/>
  <c r="D9" i="8"/>
  <c r="D15" i="8" l="1"/>
  <c r="E15" i="8" s="1"/>
  <c r="D14" i="8"/>
  <c r="C46" i="8" l="1"/>
  <c r="F46" i="8" s="1"/>
  <c r="E14" i="8"/>
  <c r="D16" i="8"/>
  <c r="E16" i="8" s="1"/>
  <c r="D53" i="8"/>
  <c r="G53" i="8" s="1"/>
  <c r="D51" i="8"/>
  <c r="G51" i="8" s="1"/>
  <c r="F6" i="8"/>
  <c r="F11" i="8"/>
  <c r="D52" i="8"/>
  <c r="G52" i="8" s="1"/>
  <c r="F10" i="8"/>
  <c r="F7" i="8"/>
  <c r="F9" i="8"/>
  <c r="F8" i="8"/>
  <c r="C48" i="8" l="1"/>
  <c r="F48" i="8" s="1"/>
  <c r="C47" i="8"/>
  <c r="F47" i="8" s="1"/>
  <c r="C45" i="8"/>
  <c r="F45" i="8" s="1"/>
  <c r="D46" i="8"/>
  <c r="G46" i="8" s="1"/>
  <c r="C53" i="8"/>
  <c r="C51" i="8"/>
  <c r="C52" i="8"/>
  <c r="D48" i="8" l="1"/>
  <c r="G48" i="8" s="1"/>
  <c r="D47" i="8"/>
  <c r="G47" i="8" s="1"/>
  <c r="D45" i="8"/>
  <c r="G45" i="8" s="1"/>
</calcChain>
</file>

<file path=xl/sharedStrings.xml><?xml version="1.0" encoding="utf-8"?>
<sst xmlns="http://schemas.openxmlformats.org/spreadsheetml/2006/main" count="230" uniqueCount="128">
  <si>
    <t>OMKOSTNINGSVURDERING AF MODIFICERET ACT</t>
  </si>
  <si>
    <t>Udarbejdet i forbindelse med projektet "Modificeret ACT" for Socialstyrelsen</t>
  </si>
  <si>
    <t>Udarbejdet af Rambøll Management Consulting</t>
  </si>
  <si>
    <t>Efteråret 2022</t>
  </si>
  <si>
    <t>Beskrivelse af indsatsen</t>
  </si>
  <si>
    <t>Omkostningsvurdering af Modificeret ACT.</t>
  </si>
  <si>
    <t>Efterår 2022</t>
  </si>
  <si>
    <t>BAGGRUND</t>
  </si>
  <si>
    <t>Indsamlingsperiode for omkostninger i Favrskov Kommune</t>
  </si>
  <si>
    <t>1. september 2020 til 30. juni 2022</t>
  </si>
  <si>
    <t>Driftsperiode, start</t>
  </si>
  <si>
    <t>Driftsperiode, slut</t>
  </si>
  <si>
    <t>Driftsperiode i alt (uger)</t>
  </si>
  <si>
    <t>Dirftsperiode på et år (uger)</t>
  </si>
  <si>
    <t>FAKTISK ANTAL BORGERE I KOMMUNERNE, DER DANNER GRUNDLAG FOR OMKOSTNINGSVURDERINGEN</t>
  </si>
  <si>
    <t>CASELOAD EFTER PROJEKT</t>
  </si>
  <si>
    <t>Fredericia</t>
  </si>
  <si>
    <t>Varde</t>
  </si>
  <si>
    <t>København</t>
  </si>
  <si>
    <t>Gns. antal borgere ad gangen (caseload)</t>
  </si>
  <si>
    <t>FAKTISK ANTAL MEDARBEJDERE/BEHANDLERE</t>
  </si>
  <si>
    <t>Bostøtte 
(pædagog)</t>
  </si>
  <si>
    <t>Bostøtte
(ergoterapeut)</t>
  </si>
  <si>
    <t>Sagsbehandler
(socialrådgiver)</t>
  </si>
  <si>
    <t>Sygeplejerske</t>
  </si>
  <si>
    <t>Hjemmepleje
(sosu-ass.)</t>
  </si>
  <si>
    <t>Særskilt projektleder (sygeplejerske)</t>
  </si>
  <si>
    <t>Antal medarbejdere</t>
  </si>
  <si>
    <t>Gennemsnitligt antal medarbejdere</t>
  </si>
  <si>
    <t>ANTAGELSER</t>
  </si>
  <si>
    <t>Antagelser</t>
  </si>
  <si>
    <t>enhed</t>
  </si>
  <si>
    <t>Bemærk/Kilde</t>
  </si>
  <si>
    <t>Prisniveau</t>
  </si>
  <si>
    <t>årstal</t>
  </si>
  <si>
    <t>Overhead på lønomkostninger</t>
  </si>
  <si>
    <t>pct.</t>
  </si>
  <si>
    <t>Den Socialøkonomiske Investeringsmodel (SØM), Socialstyrelsen</t>
  </si>
  <si>
    <t>timer/år</t>
  </si>
  <si>
    <t>Årsnorm</t>
  </si>
  <si>
    <t xml:space="preserve">Driftsperiode for en fremtidig indsats </t>
  </si>
  <si>
    <t>år</t>
  </si>
  <si>
    <t>-</t>
  </si>
  <si>
    <t>Omkostningerne opgøres årligt, fordi alle kommuner melder, at det ikke er meningsfuldt at begynde at snakke om forløbsvarighed. En del af borgerne er i denne indsats indtil de enten ikke kan/gider mere eller til de dør, fordi der ikke er andre indsatser til denne type borger</t>
  </si>
  <si>
    <t>Lønninger</t>
  </si>
  <si>
    <t>Socialpædagog (bostøtte)</t>
  </si>
  <si>
    <t>Gns. løn</t>
  </si>
  <si>
    <t>kr./mdr.</t>
  </si>
  <si>
    <t>Kommunernes og Regionernes Løndatakontor (KRL)</t>
  </si>
  <si>
    <t>Gns. timeløn</t>
  </si>
  <si>
    <t>kr./time</t>
  </si>
  <si>
    <t>Gns. timeløn inkl. overhead</t>
  </si>
  <si>
    <t>Ergoterapeut (bostøtte)</t>
  </si>
  <si>
    <t>Sygeplejerske (kommune)</t>
  </si>
  <si>
    <t>Socialrådgiver (sagsbehandler)</t>
  </si>
  <si>
    <t>SOSU-assistent (hjemmepleje)</t>
  </si>
  <si>
    <t>Projektleder</t>
  </si>
  <si>
    <t>INPUT</t>
  </si>
  <si>
    <t>RESSOURCEFORBRUG TIL DRIFT AF INDSATSEN</t>
  </si>
  <si>
    <t>Timer i indsatsen</t>
  </si>
  <si>
    <t>timer</t>
  </si>
  <si>
    <t>Ressourceforbrug til drift af indsatsen/uge</t>
  </si>
  <si>
    <t xml:space="preserve">Øvrige udgifter </t>
  </si>
  <si>
    <t>Forplejning</t>
  </si>
  <si>
    <t>kr.</t>
  </si>
  <si>
    <t>Supervision</t>
  </si>
  <si>
    <t>Materialer</t>
  </si>
  <si>
    <t>RESULTATER</t>
  </si>
  <si>
    <t xml:space="preserve">SAMLEDE OMKOSTNINGER </t>
  </si>
  <si>
    <t>Driftsomkostninger</t>
  </si>
  <si>
    <t>Gns. pr. kommune</t>
  </si>
  <si>
    <t xml:space="preserve">pct. </t>
  </si>
  <si>
    <t>kr</t>
  </si>
  <si>
    <t>Øvrige udgifter</t>
  </si>
  <si>
    <t>Lønudgifter i alt</t>
  </si>
  <si>
    <t>Driftsomkostninger i alt</t>
  </si>
  <si>
    <t>Gennemsnit pr. borger</t>
  </si>
  <si>
    <t>Samlede årlige omkostninger i kommunerne</t>
  </si>
  <si>
    <t>Gennemsnitlige omkostninger pr. borger</t>
  </si>
  <si>
    <t>FØLSOMHEDSANALYSER</t>
  </si>
  <si>
    <t>Løn</t>
  </si>
  <si>
    <t>Gns. pr. år</t>
  </si>
  <si>
    <t>Gns. pr. borger</t>
  </si>
  <si>
    <t>gens</t>
  </si>
  <si>
    <t>+10 pct.</t>
  </si>
  <si>
    <t>+ 20 pct</t>
  </si>
  <si>
    <t>Borgere</t>
  </si>
  <si>
    <t>Gns. pr. år (fast omkostning pr. borger)</t>
  </si>
  <si>
    <t>Gns. pr. år (faste samlede omkostninger)</t>
  </si>
  <si>
    <t>13 borgere (gns)</t>
  </si>
  <si>
    <t>Bemærk: Følsomhedsanalyserne er ikke dynamiske og skal opdateres, hvis der ændres i antagelserne</t>
  </si>
  <si>
    <t>Scenarie A</t>
  </si>
  <si>
    <t>Scenarie B</t>
  </si>
  <si>
    <t>Scenarie C</t>
  </si>
  <si>
    <t>Scenarie D</t>
  </si>
  <si>
    <t>Scenarie E</t>
  </si>
  <si>
    <t>Scenarie F</t>
  </si>
  <si>
    <t>Målgruppe</t>
  </si>
  <si>
    <t>Voksne med psykiske vanskeligheder og samtidig misbrug</t>
  </si>
  <si>
    <t>Stofmisbrug, substitutionsbehandling (18-64 år), ingen psyk. kontakt</t>
  </si>
  <si>
    <t xml:space="preserve">Stofmisbrug, ingen substitutionsbehandling (25-64 år), ingen psykiatrisk sygehuskontakt </t>
  </si>
  <si>
    <t xml:space="preserve">Alkoholmisbrug (18-64 år), ingen psykiatrisk sygehuskontakt </t>
  </si>
  <si>
    <t xml:space="preserve">Alkoholmisbrug (18-64 år), psykiatrisk sygehuskontakt </t>
  </si>
  <si>
    <t xml:space="preserve">Stofmisbrug, substitutionsbehandling (18-64 år), psykiatrisk sygehuskontakt </t>
  </si>
  <si>
    <t xml:space="preserve">Stofmisbrug, ingen substitutionsbehandling (25-64 år), psykiatrisk sygehuskontakt </t>
  </si>
  <si>
    <t>Samlede nettoresultat pr. borger</t>
  </si>
  <si>
    <t>Nettoresultat pr. borger fordelt på aktørniveau</t>
  </si>
  <si>
    <t>Kommune</t>
  </si>
  <si>
    <t>Region</t>
  </si>
  <si>
    <t>Stat</t>
  </si>
  <si>
    <t>AFRUNDET</t>
  </si>
  <si>
    <t>Gennemsnit</t>
  </si>
  <si>
    <t>Antal timer i alt</t>
  </si>
  <si>
    <t>Socialpædagogisk pers. ved døgninst. mv.</t>
  </si>
  <si>
    <t>Ovenstående lønomkostninger fra krl.dk indeholder grundløn, diverse tillæg, særydelser, feriepenge og overarbejde. Trukket fra KRL.dk, juni 2022.</t>
  </si>
  <si>
    <t>Ergo- Fysio- og Jordemødre, basis KL</t>
  </si>
  <si>
    <t>Syge- og Sundhedspersonale, basis KL</t>
  </si>
  <si>
    <t>Socialrådg./socialformidlere, KL</t>
  </si>
  <si>
    <t>Social- og sundhedspersonale, KL</t>
  </si>
  <si>
    <t>8 borgere</t>
  </si>
  <si>
    <t>16 borgere</t>
  </si>
  <si>
    <t>-10 pct</t>
  </si>
  <si>
    <t>Antal timer uden teamkoordinator</t>
  </si>
  <si>
    <t>Afrundet</t>
  </si>
  <si>
    <t>Resultater fra SØM-beregning baseret på omkostningsvurdering af Modificeret ACT. OBS. selve beregninger er foretaget i SØM-modellen.</t>
  </si>
  <si>
    <t>Kommune 1</t>
  </si>
  <si>
    <t>Kommune 2</t>
  </si>
  <si>
    <t>Kommune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</si>
</sst>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b/>
      <sz val="12"/>
      <color theme="0"/>
      <name val="Verdana"/>
      <family val="2"/>
    </font>
    <font>
      <sz val="9"/>
      <color rgb="FFFF0000"/>
      <name val="Verdana"/>
      <family val="2"/>
    </font>
    <font>
      <i/>
      <sz val="11"/>
      <color theme="0"/>
      <name val="Verdana"/>
      <family val="2"/>
    </font>
    <font>
      <sz val="9"/>
      <name val="Verdana"/>
      <family val="2"/>
    </font>
    <font>
      <sz val="9"/>
      <color theme="7"/>
      <name val="Verdana"/>
      <family val="2"/>
    </font>
    <font>
      <i/>
      <sz val="9"/>
      <color theme="0"/>
      <name val="Verdana"/>
      <family val="2"/>
    </font>
    <font>
      <i/>
      <sz val="9"/>
      <name val="Verdana"/>
      <family val="2"/>
    </font>
    <font>
      <b/>
      <sz val="16"/>
      <color theme="0"/>
      <name val="Verdana"/>
      <family val="2"/>
    </font>
    <font>
      <b/>
      <sz val="9"/>
      <name val="Verdana"/>
      <family val="2"/>
    </font>
    <font>
      <sz val="9"/>
      <color theme="2"/>
      <name val="Verdana"/>
      <family val="2"/>
    </font>
    <font>
      <b/>
      <i/>
      <sz val="9"/>
      <color theme="0"/>
      <name val="Verdana"/>
      <family val="2"/>
    </font>
    <font>
      <i/>
      <sz val="9"/>
      <color theme="1" tint="0.3499862666707357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221">
    <xf numFmtId="0" fontId="0" fillId="0" borderId="0" xfId="0"/>
    <xf numFmtId="0" fontId="3" fillId="3" borderId="0" xfId="2" applyFont="1" applyFill="1"/>
    <xf numFmtId="0" fontId="11" fillId="2" borderId="0" xfId="2" applyFont="1" applyFill="1"/>
    <xf numFmtId="0" fontId="12" fillId="2" borderId="0" xfId="2" applyFont="1" applyFill="1"/>
    <xf numFmtId="0" fontId="3" fillId="2" borderId="0" xfId="2" applyFont="1" applyFill="1"/>
    <xf numFmtId="0" fontId="13" fillId="2" borderId="0" xfId="2" applyFont="1" applyFill="1" applyAlignment="1">
      <alignment vertical="center"/>
    </xf>
    <xf numFmtId="0" fontId="9" fillId="2" borderId="0" xfId="2" applyFont="1" applyFill="1" applyAlignment="1">
      <alignment vertical="center"/>
    </xf>
    <xf numFmtId="0" fontId="3" fillId="3" borderId="0" xfId="2" applyFont="1" applyFill="1" applyAlignment="1">
      <alignment vertical="center"/>
    </xf>
    <xf numFmtId="0" fontId="9" fillId="3" borderId="0" xfId="2" applyFont="1" applyFill="1"/>
    <xf numFmtId="0" fontId="2" fillId="3" borderId="0" xfId="2" applyFont="1" applyFill="1"/>
    <xf numFmtId="0" fontId="14" fillId="3" borderId="0" xfId="2" applyFont="1" applyFill="1" applyAlignment="1">
      <alignment horizontal="left"/>
    </xf>
    <xf numFmtId="0" fontId="14" fillId="0" borderId="0" xfId="2" applyFont="1"/>
    <xf numFmtId="0" fontId="14" fillId="0" borderId="1" xfId="2" applyFont="1" applyBorder="1" applyAlignment="1">
      <alignment vertical="center"/>
    </xf>
    <xf numFmtId="1" fontId="14" fillId="0" borderId="1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right" vertical="center"/>
    </xf>
    <xf numFmtId="0" fontId="14" fillId="3" borderId="0" xfId="2" applyFont="1" applyFill="1" applyAlignment="1">
      <alignment vertical="center"/>
    </xf>
    <xf numFmtId="0" fontId="14" fillId="3" borderId="0" xfId="2" applyFont="1" applyFill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right"/>
    </xf>
    <xf numFmtId="0" fontId="14" fillId="3" borderId="0" xfId="2" applyFont="1" applyFill="1" applyAlignment="1">
      <alignment horizontal="right"/>
    </xf>
    <xf numFmtId="0" fontId="9" fillId="3" borderId="0" xfId="3" applyFont="1" applyFill="1"/>
    <xf numFmtId="0" fontId="3" fillId="3" borderId="0" xfId="3" applyFont="1" applyFill="1"/>
    <xf numFmtId="0" fontId="2" fillId="3" borderId="0" xfId="3" applyFont="1" applyFill="1"/>
    <xf numFmtId="0" fontId="3" fillId="3" borderId="1" xfId="3" applyFont="1" applyFill="1" applyBorder="1"/>
    <xf numFmtId="0" fontId="3" fillId="3" borderId="0" xfId="2" applyFont="1" applyFill="1" applyAlignment="1">
      <alignment horizontal="right"/>
    </xf>
    <xf numFmtId="0" fontId="15" fillId="3" borderId="0" xfId="2" applyFont="1" applyFill="1"/>
    <xf numFmtId="0" fontId="10" fillId="2" borderId="0" xfId="2" applyFont="1" applyFill="1"/>
    <xf numFmtId="0" fontId="16" fillId="2" borderId="0" xfId="2" applyFont="1" applyFill="1" applyAlignment="1">
      <alignment vertical="center"/>
    </xf>
    <xf numFmtId="0" fontId="3" fillId="3" borderId="0" xfId="2" applyFont="1" applyFill="1" applyAlignment="1">
      <alignment horizontal="left"/>
    </xf>
    <xf numFmtId="0" fontId="3" fillId="3" borderId="0" xfId="2" applyFont="1" applyFill="1" applyAlignment="1">
      <alignment horizontal="right" vertical="center"/>
    </xf>
    <xf numFmtId="0" fontId="9" fillId="2" borderId="0" xfId="2" applyFont="1" applyFill="1"/>
    <xf numFmtId="0" fontId="17" fillId="2" borderId="0" xfId="2" applyFont="1" applyFill="1"/>
    <xf numFmtId="0" fontId="14" fillId="2" borderId="0" xfId="2" applyFont="1" applyFill="1" applyAlignment="1">
      <alignment horizontal="right"/>
    </xf>
    <xf numFmtId="0" fontId="14" fillId="2" borderId="0" xfId="2" applyFont="1" applyFill="1"/>
    <xf numFmtId="0" fontId="7" fillId="2" borderId="0" xfId="2" applyFont="1" applyFill="1"/>
    <xf numFmtId="1" fontId="3" fillId="2" borderId="0" xfId="2" applyNumberFormat="1" applyFont="1" applyFill="1"/>
    <xf numFmtId="0" fontId="5" fillId="2" borderId="0" xfId="2" quotePrefix="1" applyFont="1" applyFill="1"/>
    <xf numFmtId="0" fontId="2" fillId="2" borderId="0" xfId="2" quotePrefix="1" applyFont="1" applyFill="1"/>
    <xf numFmtId="0" fontId="2" fillId="2" borderId="0" xfId="2" applyFont="1" applyFill="1"/>
    <xf numFmtId="0" fontId="19" fillId="2" borderId="0" xfId="2" applyFont="1" applyFill="1"/>
    <xf numFmtId="0" fontId="14" fillId="2" borderId="0" xfId="2" applyFont="1" applyFill="1" applyAlignment="1">
      <alignment horizontal="left" indent="1"/>
    </xf>
    <xf numFmtId="3" fontId="14" fillId="2" borderId="0" xfId="2" applyNumberFormat="1" applyFont="1" applyFill="1"/>
    <xf numFmtId="0" fontId="5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  <xf numFmtId="0" fontId="15" fillId="2" borderId="0" xfId="2" applyFont="1" applyFill="1"/>
    <xf numFmtId="3" fontId="15" fillId="2" borderId="0" xfId="2" applyNumberFormat="1" applyFont="1" applyFill="1"/>
    <xf numFmtId="0" fontId="20" fillId="2" borderId="0" xfId="2" applyFont="1" applyFill="1"/>
    <xf numFmtId="9" fontId="20" fillId="2" borderId="0" xfId="2" applyNumberFormat="1" applyFont="1" applyFill="1"/>
    <xf numFmtId="0" fontId="17" fillId="0" borderId="0" xfId="2" applyFont="1"/>
    <xf numFmtId="0" fontId="9" fillId="0" borderId="0" xfId="2" applyFont="1"/>
    <xf numFmtId="0" fontId="7" fillId="3" borderId="0" xfId="2" applyFont="1" applyFill="1"/>
    <xf numFmtId="0" fontId="7" fillId="3" borderId="1" xfId="2" applyFont="1" applyFill="1" applyBorder="1"/>
    <xf numFmtId="0" fontId="14" fillId="3" borderId="1" xfId="2" applyFont="1" applyFill="1" applyBorder="1" applyAlignment="1">
      <alignment horizontal="right"/>
    </xf>
    <xf numFmtId="0" fontId="3" fillId="3" borderId="1" xfId="2" applyFont="1" applyFill="1" applyBorder="1"/>
    <xf numFmtId="0" fontId="12" fillId="3" borderId="1" xfId="2" applyFont="1" applyFill="1" applyBorder="1"/>
    <xf numFmtId="0" fontId="19" fillId="0" borderId="0" xfId="2" applyFont="1"/>
    <xf numFmtId="0" fontId="14" fillId="0" borderId="0" xfId="2" applyFont="1" applyAlignment="1">
      <alignment horizontal="left" indent="1"/>
    </xf>
    <xf numFmtId="0" fontId="17" fillId="3" borderId="0" xfId="2" applyFont="1" applyFill="1"/>
    <xf numFmtId="3" fontId="14" fillId="3" borderId="0" xfId="2" applyNumberFormat="1" applyFont="1" applyFill="1"/>
    <xf numFmtId="3" fontId="14" fillId="0" borderId="0" xfId="2" applyNumberFormat="1" applyFont="1"/>
    <xf numFmtId="0" fontId="5" fillId="3" borderId="0" xfId="2" applyFont="1" applyFill="1" applyAlignment="1">
      <alignment horizontal="left"/>
    </xf>
    <xf numFmtId="3" fontId="15" fillId="3" borderId="0" xfId="2" applyNumberFormat="1" applyFont="1" applyFill="1"/>
    <xf numFmtId="0" fontId="17" fillId="0" borderId="1" xfId="2" applyFont="1" applyBorder="1"/>
    <xf numFmtId="0" fontId="20" fillId="3" borderId="0" xfId="2" applyFont="1" applyFill="1"/>
    <xf numFmtId="9" fontId="20" fillId="3" borderId="0" xfId="2" applyNumberFormat="1" applyFont="1" applyFill="1"/>
    <xf numFmtId="14" fontId="3" fillId="3" borderId="0" xfId="2" applyNumberFormat="1" applyFont="1" applyFill="1" applyAlignment="1">
      <alignment horizontal="right"/>
    </xf>
    <xf numFmtId="1" fontId="3" fillId="3" borderId="0" xfId="2" applyNumberFormat="1" applyFont="1" applyFill="1" applyAlignment="1">
      <alignment horizontal="right"/>
    </xf>
    <xf numFmtId="1" fontId="14" fillId="0" borderId="0" xfId="2" applyNumberFormat="1" applyFont="1" applyAlignment="1">
      <alignment horizontal="right" vertical="center"/>
    </xf>
    <xf numFmtId="0" fontId="3" fillId="3" borderId="1" xfId="2" applyFont="1" applyFill="1" applyBorder="1" applyAlignment="1">
      <alignment horizontal="right" vertical="center"/>
    </xf>
    <xf numFmtId="0" fontId="14" fillId="3" borderId="1" xfId="2" applyFont="1" applyFill="1" applyBorder="1"/>
    <xf numFmtId="0" fontId="14" fillId="3" borderId="1" xfId="2" applyFont="1" applyFill="1" applyBorder="1" applyAlignment="1">
      <alignment horizontal="center"/>
    </xf>
    <xf numFmtId="0" fontId="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5" fillId="3" borderId="0" xfId="3" applyFont="1" applyFill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top" wrapText="1"/>
    </xf>
    <xf numFmtId="0" fontId="14" fillId="3" borderId="1" xfId="2" applyFont="1" applyFill="1" applyBorder="1" applyAlignment="1">
      <alignment horizontal="center" vertical="top"/>
    </xf>
    <xf numFmtId="0" fontId="14" fillId="3" borderId="7" xfId="2" applyFont="1" applyFill="1" applyBorder="1" applyAlignment="1">
      <alignment horizontal="center" vertical="top" wrapText="1"/>
    </xf>
    <xf numFmtId="0" fontId="3" fillId="3" borderId="8" xfId="3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3" fillId="3" borderId="6" xfId="3" applyFont="1" applyFill="1" applyBorder="1" applyAlignment="1">
      <alignment horizontal="center"/>
    </xf>
    <xf numFmtId="3" fontId="3" fillId="3" borderId="0" xfId="2" applyNumberFormat="1" applyFont="1" applyFill="1" applyAlignment="1">
      <alignment horizontal="right"/>
    </xf>
    <xf numFmtId="3" fontId="14" fillId="3" borderId="0" xfId="2" quotePrefix="1" applyNumberFormat="1" applyFont="1" applyFill="1"/>
    <xf numFmtId="0" fontId="3" fillId="0" borderId="0" xfId="2" applyFont="1"/>
    <xf numFmtId="0" fontId="3" fillId="3" borderId="1" xfId="2" applyFont="1" applyFill="1" applyBorder="1" applyAlignment="1">
      <alignment horizontal="right"/>
    </xf>
    <xf numFmtId="0" fontId="3" fillId="3" borderId="0" xfId="2" applyFont="1" applyFill="1" applyAlignment="1">
      <alignment horizontal="left" indent="1"/>
    </xf>
    <xf numFmtId="0" fontId="3" fillId="3" borderId="1" xfId="2" applyFont="1" applyFill="1" applyBorder="1" applyAlignment="1">
      <alignment horizontal="left" indent="1"/>
    </xf>
    <xf numFmtId="0" fontId="3" fillId="3" borderId="1" xfId="2" applyFont="1" applyFill="1" applyBorder="1" applyAlignment="1">
      <alignment horizontal="left"/>
    </xf>
    <xf numFmtId="0" fontId="10" fillId="5" borderId="0" xfId="2" applyFont="1" applyFill="1"/>
    <xf numFmtId="0" fontId="9" fillId="5" borderId="0" xfId="2" applyFont="1" applyFill="1"/>
    <xf numFmtId="0" fontId="16" fillId="0" borderId="0" xfId="2" applyFont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left" indent="1"/>
    </xf>
    <xf numFmtId="0" fontId="10" fillId="5" borderId="0" xfId="3" applyFont="1" applyFill="1"/>
    <xf numFmtId="0" fontId="9" fillId="5" borderId="0" xfId="3" applyFont="1" applyFill="1"/>
    <xf numFmtId="0" fontId="9" fillId="5" borderId="0" xfId="3" applyFont="1" applyFill="1" applyAlignment="1">
      <alignment horizontal="right"/>
    </xf>
    <xf numFmtId="0" fontId="10" fillId="4" borderId="0" xfId="2" applyFont="1" applyFill="1"/>
    <xf numFmtId="0" fontId="16" fillId="4" borderId="0" xfId="2" applyFont="1" applyFill="1"/>
    <xf numFmtId="0" fontId="10" fillId="4" borderId="0" xfId="2" applyFont="1" applyFill="1" applyAlignment="1">
      <alignment horizontal="center"/>
    </xf>
    <xf numFmtId="0" fontId="9" fillId="4" borderId="0" xfId="2" applyFont="1" applyFill="1"/>
    <xf numFmtId="1" fontId="14" fillId="3" borderId="1" xfId="2" applyNumberFormat="1" applyFont="1" applyFill="1" applyBorder="1" applyAlignment="1">
      <alignment horizontal="right"/>
    </xf>
    <xf numFmtId="0" fontId="3" fillId="3" borderId="0" xfId="2" quotePrefix="1" applyFont="1" applyFill="1" applyAlignment="1">
      <alignment horizontal="right" vertical="center"/>
    </xf>
    <xf numFmtId="0" fontId="3" fillId="3" borderId="1" xfId="2" quotePrefix="1" applyFont="1" applyFill="1" applyBorder="1" applyAlignment="1">
      <alignment horizontal="right" vertical="center"/>
    </xf>
    <xf numFmtId="3" fontId="3" fillId="3" borderId="0" xfId="2" applyNumberFormat="1" applyFont="1" applyFill="1" applyAlignment="1">
      <alignment horizontal="right" vertical="center"/>
    </xf>
    <xf numFmtId="0" fontId="11" fillId="2" borderId="0" xfId="3" applyFont="1" applyFill="1"/>
    <xf numFmtId="0" fontId="3" fillId="2" borderId="0" xfId="3" applyFont="1" applyFill="1"/>
    <xf numFmtId="0" fontId="5" fillId="5" borderId="0" xfId="3" applyFont="1" applyFill="1"/>
    <xf numFmtId="0" fontId="7" fillId="5" borderId="0" xfId="3" applyFont="1" applyFill="1"/>
    <xf numFmtId="0" fontId="5" fillId="3" borderId="0" xfId="3" applyFont="1" applyFill="1"/>
    <xf numFmtId="0" fontId="5" fillId="6" borderId="0" xfId="3" applyFont="1" applyFill="1"/>
    <xf numFmtId="0" fontId="14" fillId="6" borderId="0" xfId="4" applyFont="1" applyFill="1" applyAlignment="1">
      <alignment horizontal="right"/>
    </xf>
    <xf numFmtId="0" fontId="12" fillId="3" borderId="0" xfId="4" applyFont="1" applyFill="1" applyAlignment="1">
      <alignment horizontal="right"/>
    </xf>
    <xf numFmtId="0" fontId="14" fillId="0" borderId="0" xfId="4" applyFont="1" applyAlignment="1">
      <alignment horizontal="right"/>
    </xf>
    <xf numFmtId="0" fontId="7" fillId="0" borderId="0" xfId="3" applyFont="1" applyAlignment="1">
      <alignment horizontal="right" wrapText="1"/>
    </xf>
    <xf numFmtId="0" fontId="7" fillId="3" borderId="0" xfId="3" applyFont="1" applyFill="1"/>
    <xf numFmtId="0" fontId="5" fillId="3" borderId="9" xfId="3" applyFont="1" applyFill="1" applyBorder="1"/>
    <xf numFmtId="0" fontId="8" fillId="3" borderId="9" xfId="3" applyFont="1" applyFill="1" applyBorder="1"/>
    <xf numFmtId="3" fontId="5" fillId="3" borderId="9" xfId="3" applyNumberFormat="1" applyFont="1" applyFill="1" applyBorder="1" applyAlignment="1">
      <alignment horizontal="right"/>
    </xf>
    <xf numFmtId="3" fontId="5" fillId="3" borderId="0" xfId="3" applyNumberFormat="1" applyFont="1" applyFill="1" applyAlignment="1">
      <alignment horizontal="right"/>
    </xf>
    <xf numFmtId="0" fontId="5" fillId="3" borderId="10" xfId="3" applyFont="1" applyFill="1" applyBorder="1"/>
    <xf numFmtId="0" fontId="8" fillId="3" borderId="10" xfId="3" applyFont="1" applyFill="1" applyBorder="1"/>
    <xf numFmtId="3" fontId="5" fillId="3" borderId="10" xfId="3" applyNumberFormat="1" applyFont="1" applyFill="1" applyBorder="1" applyAlignment="1">
      <alignment horizontal="right"/>
    </xf>
    <xf numFmtId="0" fontId="12" fillId="3" borderId="0" xfId="3" applyFont="1" applyFill="1"/>
    <xf numFmtId="0" fontId="3" fillId="6" borderId="2" xfId="3" applyFont="1" applyFill="1" applyBorder="1"/>
    <xf numFmtId="3" fontId="3" fillId="3" borderId="2" xfId="3" applyNumberFormat="1" applyFont="1" applyFill="1" applyBorder="1"/>
    <xf numFmtId="0" fontId="3" fillId="3" borderId="2" xfId="3" applyFont="1" applyFill="1" applyBorder="1"/>
    <xf numFmtId="3" fontId="5" fillId="6" borderId="9" xfId="3" applyNumberFormat="1" applyFont="1" applyFill="1" applyBorder="1" applyAlignment="1">
      <alignment horizontal="right"/>
    </xf>
    <xf numFmtId="3" fontId="5" fillId="6" borderId="10" xfId="3" applyNumberFormat="1" applyFont="1" applyFill="1" applyBorder="1" applyAlignment="1">
      <alignment horizontal="right"/>
    </xf>
    <xf numFmtId="0" fontId="5" fillId="6" borderId="10" xfId="3" applyFont="1" applyFill="1" applyBorder="1"/>
    <xf numFmtId="9" fontId="3" fillId="6" borderId="4" xfId="5" applyFont="1" applyFill="1" applyBorder="1" applyAlignment="1">
      <alignment horizontal="right"/>
    </xf>
    <xf numFmtId="0" fontId="16" fillId="5" borderId="0" xfId="3" applyFont="1" applyFill="1"/>
    <xf numFmtId="1" fontId="3" fillId="0" borderId="0" xfId="2" applyNumberFormat="1" applyFont="1" applyAlignment="1">
      <alignment horizontal="right"/>
    </xf>
    <xf numFmtId="3" fontId="5" fillId="6" borderId="0" xfId="3" applyNumberFormat="1" applyFont="1" applyFill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0" xfId="3" applyFont="1"/>
    <xf numFmtId="0" fontId="8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19" fillId="6" borderId="0" xfId="4" applyFont="1" applyFill="1" applyAlignment="1">
      <alignment horizontal="right"/>
    </xf>
    <xf numFmtId="0" fontId="8" fillId="6" borderId="0" xfId="3" applyFont="1" applyFill="1"/>
    <xf numFmtId="0" fontId="5" fillId="6" borderId="0" xfId="3" applyFont="1" applyFill="1" applyAlignment="1">
      <alignment horizontal="right"/>
    </xf>
    <xf numFmtId="3" fontId="3" fillId="6" borderId="0" xfId="3" applyNumberFormat="1" applyFont="1" applyFill="1" applyAlignment="1">
      <alignment horizontal="right"/>
    </xf>
    <xf numFmtId="9" fontId="3" fillId="6" borderId="0" xfId="1" applyFont="1" applyFill="1" applyBorder="1"/>
    <xf numFmtId="0" fontId="7" fillId="0" borderId="0" xfId="3" applyFont="1"/>
    <xf numFmtId="0" fontId="14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0" fontId="14" fillId="3" borderId="0" xfId="2" quotePrefix="1" applyFont="1" applyFill="1" applyAlignment="1">
      <alignment horizontal="right" vertical="top"/>
    </xf>
    <xf numFmtId="0" fontId="7" fillId="3" borderId="0" xfId="2" applyFont="1" applyFill="1" applyAlignment="1">
      <alignment wrapText="1"/>
    </xf>
    <xf numFmtId="165" fontId="3" fillId="3" borderId="0" xfId="3" applyNumberFormat="1" applyFont="1" applyFill="1"/>
    <xf numFmtId="3" fontId="3" fillId="0" borderId="0" xfId="3" applyNumberFormat="1" applyFont="1"/>
    <xf numFmtId="0" fontId="5" fillId="0" borderId="4" xfId="3" applyFont="1" applyBorder="1"/>
    <xf numFmtId="3" fontId="5" fillId="6" borderId="4" xfId="3" applyNumberFormat="1" applyFont="1" applyFill="1" applyBorder="1" applyAlignment="1">
      <alignment horizontal="right"/>
    </xf>
    <xf numFmtId="0" fontId="5" fillId="6" borderId="4" xfId="3" applyFont="1" applyFill="1" applyBorder="1"/>
    <xf numFmtId="3" fontId="5" fillId="0" borderId="4" xfId="3" applyNumberFormat="1" applyFont="1" applyBorder="1" applyAlignment="1">
      <alignment horizontal="right"/>
    </xf>
    <xf numFmtId="3" fontId="3" fillId="3" borderId="0" xfId="3" applyNumberFormat="1" applyFont="1" applyFill="1"/>
    <xf numFmtId="0" fontId="3" fillId="7" borderId="2" xfId="3" quotePrefix="1" applyFont="1" applyFill="1" applyBorder="1"/>
    <xf numFmtId="3" fontId="3" fillId="7" borderId="2" xfId="3" applyNumberFormat="1" applyFont="1" applyFill="1" applyBorder="1"/>
    <xf numFmtId="0" fontId="3" fillId="7" borderId="2" xfId="3" applyFont="1" applyFill="1" applyBorder="1"/>
    <xf numFmtId="3" fontId="3" fillId="0" borderId="2" xfId="3" applyNumberFormat="1" applyFont="1" applyBorder="1"/>
    <xf numFmtId="0" fontId="5" fillId="6" borderId="0" xfId="3" applyFont="1" applyFill="1" applyAlignment="1">
      <alignment horizontal="center"/>
    </xf>
    <xf numFmtId="3" fontId="5" fillId="6" borderId="0" xfId="3" applyNumberFormat="1" applyFont="1" applyFill="1" applyAlignment="1">
      <alignment horizontal="center"/>
    </xf>
    <xf numFmtId="0" fontId="19" fillId="6" borderId="0" xfId="4" applyFont="1" applyFill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3" fillId="0" borderId="0" xfId="1" applyNumberFormat="1" applyFont="1" applyFill="1" applyBorder="1"/>
    <xf numFmtId="3" fontId="5" fillId="0" borderId="10" xfId="3" applyNumberFormat="1" applyFont="1" applyBorder="1"/>
    <xf numFmtId="0" fontId="19" fillId="0" borderId="9" xfId="2" applyFont="1" applyBorder="1"/>
    <xf numFmtId="0" fontId="7" fillId="3" borderId="9" xfId="3" applyFont="1" applyFill="1" applyBorder="1"/>
    <xf numFmtId="3" fontId="3" fillId="0" borderId="9" xfId="3" applyNumberFormat="1" applyFont="1" applyBorder="1" applyAlignment="1">
      <alignment horizontal="right"/>
    </xf>
    <xf numFmtId="0" fontId="3" fillId="3" borderId="1" xfId="3" applyFont="1" applyFill="1" applyBorder="1" applyAlignment="1">
      <alignment horizontal="left" indent="1"/>
    </xf>
    <xf numFmtId="0" fontId="7" fillId="3" borderId="1" xfId="3" applyFont="1" applyFill="1" applyBorder="1"/>
    <xf numFmtId="3" fontId="3" fillId="0" borderId="1" xfId="3" applyNumberFormat="1" applyFont="1" applyBorder="1" applyAlignment="1">
      <alignment horizontal="right"/>
    </xf>
    <xf numFmtId="3" fontId="3" fillId="0" borderId="1" xfId="1" applyNumberFormat="1" applyFont="1" applyFill="1" applyBorder="1"/>
    <xf numFmtId="3" fontId="5" fillId="0" borderId="1" xfId="3" applyNumberFormat="1" applyFont="1" applyBorder="1" applyAlignment="1">
      <alignment horizontal="right"/>
    </xf>
    <xf numFmtId="0" fontId="5" fillId="3" borderId="1" xfId="2" applyFont="1" applyFill="1" applyBorder="1" applyAlignment="1">
      <alignment horizontal="left" vertical="center"/>
    </xf>
    <xf numFmtId="0" fontId="7" fillId="3" borderId="1" xfId="3" applyFont="1" applyFill="1" applyBorder="1" applyAlignment="1">
      <alignment vertical="center" wrapText="1"/>
    </xf>
    <xf numFmtId="3" fontId="3" fillId="0" borderId="1" xfId="3" applyNumberFormat="1" applyFont="1" applyBorder="1" applyAlignment="1">
      <alignment horizontal="right" vertical="center"/>
    </xf>
    <xf numFmtId="3" fontId="6" fillId="0" borderId="1" xfId="3" applyNumberFormat="1" applyFont="1" applyBorder="1" applyAlignment="1">
      <alignment horizontal="left" vertical="top" wrapText="1"/>
    </xf>
    <xf numFmtId="9" fontId="6" fillId="0" borderId="1" xfId="1" applyFont="1" applyFill="1" applyBorder="1" applyAlignment="1">
      <alignment horizontal="left" vertical="top" wrapText="1"/>
    </xf>
    <xf numFmtId="0" fontId="8" fillId="3" borderId="0" xfId="3" applyFont="1" applyFill="1"/>
    <xf numFmtId="0" fontId="21" fillId="4" borderId="0" xfId="2" applyFont="1" applyFill="1"/>
    <xf numFmtId="0" fontId="22" fillId="3" borderId="0" xfId="2" applyFont="1" applyFill="1" applyAlignment="1">
      <alignment horizontal="right"/>
    </xf>
    <xf numFmtId="0" fontId="22" fillId="3" borderId="0" xfId="2" applyFont="1" applyFill="1"/>
    <xf numFmtId="164" fontId="22" fillId="3" borderId="0" xfId="2" applyNumberFormat="1" applyFont="1" applyFill="1" applyAlignment="1">
      <alignment horizontal="right"/>
    </xf>
    <xf numFmtId="164" fontId="22" fillId="3" borderId="1" xfId="2" applyNumberFormat="1" applyFont="1" applyFill="1" applyBorder="1" applyAlignment="1">
      <alignment horizontal="right"/>
    </xf>
    <xf numFmtId="0" fontId="22" fillId="3" borderId="0" xfId="2" applyFont="1" applyFill="1" applyAlignment="1">
      <alignment horizontal="right" vertical="center"/>
    </xf>
    <xf numFmtId="0" fontId="22" fillId="3" borderId="1" xfId="2" applyFont="1" applyFill="1" applyBorder="1" applyAlignment="1">
      <alignment horizontal="right" vertical="center"/>
    </xf>
    <xf numFmtId="1" fontId="3" fillId="0" borderId="0" xfId="2" applyNumberFormat="1" applyFont="1" applyAlignment="1">
      <alignment horizontal="center"/>
    </xf>
    <xf numFmtId="0" fontId="3" fillId="3" borderId="0" xfId="2" applyFont="1" applyFill="1" applyBorder="1" applyAlignment="1">
      <alignment horizontal="left" indent="1"/>
    </xf>
    <xf numFmtId="0" fontId="14" fillId="3" borderId="0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1" fontId="14" fillId="3" borderId="0" xfId="2" applyNumberFormat="1" applyFont="1" applyFill="1" applyBorder="1" applyAlignment="1">
      <alignment horizontal="right"/>
    </xf>
    <xf numFmtId="1" fontId="22" fillId="3" borderId="0" xfId="2" applyNumberFormat="1" applyFont="1" applyFill="1" applyBorder="1" applyAlignment="1">
      <alignment horizontal="right"/>
    </xf>
    <xf numFmtId="1" fontId="3" fillId="3" borderId="0" xfId="3" applyNumberFormat="1" applyFont="1" applyFill="1" applyAlignment="1">
      <alignment horizontal="center"/>
    </xf>
    <xf numFmtId="0" fontId="14" fillId="3" borderId="1" xfId="2" applyFont="1" applyFill="1" applyBorder="1" applyAlignment="1">
      <alignment horizontal="left"/>
    </xf>
    <xf numFmtId="0" fontId="14" fillId="3" borderId="0" xfId="2" applyFont="1" applyFill="1" applyBorder="1" applyAlignment="1">
      <alignment horizontal="left"/>
    </xf>
    <xf numFmtId="1" fontId="14" fillId="3" borderId="0" xfId="2" applyNumberFormat="1" applyFont="1" applyFill="1" applyAlignment="1">
      <alignment horizontal="right"/>
    </xf>
    <xf numFmtId="1" fontId="3" fillId="3" borderId="1" xfId="2" applyNumberFormat="1" applyFont="1" applyFill="1" applyBorder="1" applyAlignment="1">
      <alignment horizontal="right"/>
    </xf>
    <xf numFmtId="3" fontId="17" fillId="0" borderId="0" xfId="2" applyNumberFormat="1" applyFont="1"/>
    <xf numFmtId="4" fontId="5" fillId="3" borderId="10" xfId="3" applyNumberFormat="1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3" fontId="3" fillId="0" borderId="9" xfId="3" applyNumberFormat="1" applyFont="1" applyFill="1" applyBorder="1" applyAlignment="1">
      <alignment horizontal="right"/>
    </xf>
    <xf numFmtId="3" fontId="3" fillId="0" borderId="1" xfId="3" applyNumberFormat="1" applyFont="1" applyFill="1" applyBorder="1" applyAlignment="1">
      <alignment horizontal="right"/>
    </xf>
    <xf numFmtId="3" fontId="5" fillId="0" borderId="0" xfId="3" applyNumberFormat="1" applyFont="1" applyFill="1" applyAlignment="1">
      <alignment horizontal="right"/>
    </xf>
    <xf numFmtId="0" fontId="5" fillId="0" borderId="0" xfId="3" applyFont="1" applyFill="1"/>
    <xf numFmtId="0" fontId="5" fillId="0" borderId="9" xfId="3" applyFont="1" applyFill="1" applyBorder="1"/>
    <xf numFmtId="3" fontId="3" fillId="0" borderId="0" xfId="3" applyNumberFormat="1" applyFont="1" applyFill="1"/>
    <xf numFmtId="3" fontId="5" fillId="0" borderId="0" xfId="3" applyNumberFormat="1" applyFont="1" applyFill="1"/>
    <xf numFmtId="1" fontId="3" fillId="3" borderId="0" xfId="2" applyNumberFormat="1" applyFont="1" applyFill="1"/>
    <xf numFmtId="1" fontId="22" fillId="3" borderId="0" xfId="2" applyNumberFormat="1" applyFont="1" applyFill="1"/>
    <xf numFmtId="164" fontId="3" fillId="3" borderId="0" xfId="2" applyNumberFormat="1" applyFont="1" applyFill="1"/>
    <xf numFmtId="1" fontId="14" fillId="0" borderId="0" xfId="2" applyNumberFormat="1" applyFont="1"/>
    <xf numFmtId="0" fontId="3" fillId="6" borderId="2" xfId="3" applyFont="1" applyFill="1" applyBorder="1" applyAlignment="1">
      <alignment wrapText="1"/>
    </xf>
    <xf numFmtId="0" fontId="14" fillId="0" borderId="0" xfId="3" applyFont="1" applyFill="1"/>
    <xf numFmtId="0" fontId="17" fillId="0" borderId="0" xfId="3" applyFont="1" applyFill="1"/>
    <xf numFmtId="0" fontId="3" fillId="6" borderId="2" xfId="3" applyFont="1" applyFill="1" applyBorder="1" applyAlignment="1"/>
    <xf numFmtId="0" fontId="7" fillId="6" borderId="0" xfId="3" applyFont="1" applyFill="1" applyAlignment="1">
      <alignment horizontal="right"/>
    </xf>
    <xf numFmtId="0" fontId="18" fillId="2" borderId="0" xfId="2" applyFont="1" applyFill="1" applyAlignment="1">
      <alignment horizontal="center" vertical="center" wrapText="1"/>
    </xf>
    <xf numFmtId="0" fontId="5" fillId="8" borderId="3" xfId="3" applyFont="1" applyFill="1" applyBorder="1" applyAlignment="1">
      <alignment horizontal="center"/>
    </xf>
    <xf numFmtId="0" fontId="5" fillId="8" borderId="5" xfId="3" applyFont="1" applyFill="1" applyBorder="1" applyAlignment="1">
      <alignment horizontal="center"/>
    </xf>
  </cellXfs>
  <cellStyles count="6">
    <cellStyle name="Normal" xfId="0" builtinId="0"/>
    <cellStyle name="Normal 2" xfId="2"/>
    <cellStyle name="Normal 2 2" xfId="3"/>
    <cellStyle name="Normal 3 2" xfId="4"/>
    <cellStyle name="Percent 2" xfId="5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812750574920353E-2"/>
          <c:y val="3.1365717682196953E-2"/>
          <c:w val="0.94837449885015934"/>
          <c:h val="0.74273114131137197"/>
        </c:manualLayout>
      </c:layout>
      <c:barChart>
        <c:barDir val="col"/>
        <c:grouping val="clustered"/>
        <c:varyColors val="0"/>
        <c:ser>
          <c:idx val="0"/>
          <c:order val="0"/>
          <c:tx>
            <c:v>Indsamlede omkostninger</c:v>
          </c:tx>
          <c:spPr>
            <a:solidFill>
              <a:srgbClr val="009D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Resultater!$G$5:$I$5</c:f>
              <c:strCache>
                <c:ptCount val="3"/>
                <c:pt idx="0">
                  <c:v>Kommune 1</c:v>
                </c:pt>
                <c:pt idx="1">
                  <c:v>Kommune 3</c:v>
                </c:pt>
                <c:pt idx="2">
                  <c:v>Kommune 2</c:v>
                </c:pt>
              </c:strCache>
            </c:strRef>
          </c:cat>
          <c:val>
            <c:numRef>
              <c:f>Resultater!$G$15:$I$15</c:f>
              <c:numCache>
                <c:formatCode>#,##0</c:formatCode>
                <c:ptCount val="3"/>
                <c:pt idx="0">
                  <c:v>1175000</c:v>
                </c:pt>
                <c:pt idx="1">
                  <c:v>966000</c:v>
                </c:pt>
                <c:pt idx="2">
                  <c:v>1930000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BAE-8DB8-81BC9A6B5B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3392928"/>
        <c:axId val="513393320"/>
      </c:barChart>
      <c:catAx>
        <c:axId val="5133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977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513393320"/>
        <c:crosses val="autoZero"/>
        <c:auto val="1"/>
        <c:lblAlgn val="ctr"/>
        <c:lblOffset val="100"/>
        <c:noMultiLvlLbl val="0"/>
      </c:catAx>
      <c:valAx>
        <c:axId val="513393320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13392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812750574920353E-2"/>
          <c:y val="3.1365717682196953E-2"/>
          <c:w val="0.94837449885015934"/>
          <c:h val="0.74273114131137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D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Resultater!$G$5:$I$5</c:f>
              <c:strCache>
                <c:ptCount val="3"/>
                <c:pt idx="0">
                  <c:v>Kommune 1</c:v>
                </c:pt>
                <c:pt idx="1">
                  <c:v>Kommune 3</c:v>
                </c:pt>
                <c:pt idx="2">
                  <c:v>Kommune 2</c:v>
                </c:pt>
              </c:strCache>
            </c:strRef>
          </c:cat>
          <c:val>
            <c:numRef>
              <c:f>Resultater!$G$16:$I$16</c:f>
              <c:numCache>
                <c:formatCode>#,##0</c:formatCode>
                <c:ptCount val="3"/>
                <c:pt idx="0">
                  <c:v>78000</c:v>
                </c:pt>
                <c:pt idx="1">
                  <c:v>121000</c:v>
                </c:pt>
                <c:pt idx="2">
                  <c:v>121000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BAE-8DB8-81BC9A6B5B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3392928"/>
        <c:axId val="513393320"/>
      </c:barChart>
      <c:catAx>
        <c:axId val="5133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977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513393320"/>
        <c:crosses val="autoZero"/>
        <c:auto val="1"/>
        <c:lblAlgn val="ctr"/>
        <c:lblOffset val="100"/>
        <c:noMultiLvlLbl val="0"/>
      </c:catAx>
      <c:valAx>
        <c:axId val="513393320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13392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812750574920353E-2"/>
          <c:y val="3.1365717682196953E-2"/>
          <c:w val="0.94837449885015934"/>
          <c:h val="0.74273114131137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DF0"/>
            </a:solidFill>
          </c:spPr>
          <c:invertIfNegative val="0"/>
          <c:dLbls>
            <c:numFmt formatCode="#,##0\ &quot;kr.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SØM!$E$5:$J$5</c:f>
              <c:strCache>
                <c:ptCount val="6"/>
                <c:pt idx="0">
                  <c:v>Scenarie A</c:v>
                </c:pt>
                <c:pt idx="1">
                  <c:v>Scenarie B</c:v>
                </c:pt>
                <c:pt idx="2">
                  <c:v>Scenarie C</c:v>
                </c:pt>
                <c:pt idx="3">
                  <c:v>Scenarie D</c:v>
                </c:pt>
                <c:pt idx="4">
                  <c:v>Scenarie E</c:v>
                </c:pt>
                <c:pt idx="5">
                  <c:v>Scenarie F</c:v>
                </c:pt>
              </c:strCache>
            </c:strRef>
          </c:cat>
          <c:val>
            <c:numRef>
              <c:f>SØM!$E$16:$J$16</c:f>
              <c:numCache>
                <c:formatCode>#,##0</c:formatCode>
                <c:ptCount val="6"/>
                <c:pt idx="0">
                  <c:v>-95000</c:v>
                </c:pt>
                <c:pt idx="1">
                  <c:v>-88400</c:v>
                </c:pt>
                <c:pt idx="2">
                  <c:v>-74400</c:v>
                </c:pt>
                <c:pt idx="3">
                  <c:v>-47000</c:v>
                </c:pt>
                <c:pt idx="4">
                  <c:v>-5300</c:v>
                </c:pt>
                <c:pt idx="5">
                  <c:v>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966-8A69-51185B9FA4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3392928"/>
        <c:axId val="513393320"/>
      </c:barChart>
      <c:catAx>
        <c:axId val="5133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E3E1D8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a-DK"/>
          </a:p>
        </c:txPr>
        <c:crossAx val="513393320"/>
        <c:crosses val="autoZero"/>
        <c:auto val="1"/>
        <c:lblAlgn val="ctr"/>
        <c:lblOffset val="100"/>
        <c:noMultiLvlLbl val="0"/>
      </c:catAx>
      <c:valAx>
        <c:axId val="513393320"/>
        <c:scaling>
          <c:orientation val="minMax"/>
          <c:max val="40000"/>
          <c:min val="-120000"/>
        </c:scaling>
        <c:delete val="1"/>
        <c:axPos val="l"/>
        <c:numFmt formatCode="#,##0" sourceLinked="1"/>
        <c:majorTickMark val="out"/>
        <c:minorTickMark val="none"/>
        <c:tickLblPos val="nextTo"/>
        <c:crossAx val="513392928"/>
        <c:crosses val="autoZero"/>
        <c:crossBetween val="between"/>
        <c:majorUnit val="20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688731</xdr:colOff>
      <xdr:row>39</xdr:row>
      <xdr:rowOff>95250</xdr:rowOff>
    </xdr:from>
    <xdr:to>
      <xdr:col>11</xdr:col>
      <xdr:colOff>1516673</xdr:colOff>
      <xdr:row>41</xdr:row>
      <xdr:rowOff>112100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1F700-B926-44B8-880E-088A57FB3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981" y="6419850"/>
          <a:ext cx="1599467" cy="34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27</xdr:row>
      <xdr:rowOff>19050</xdr:rowOff>
    </xdr:from>
    <xdr:to>
      <xdr:col>10</xdr:col>
      <xdr:colOff>600075</xdr:colOff>
      <xdr:row>29</xdr:row>
      <xdr:rowOff>23634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B68AE-FA6B-4319-A195-892D97BC5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6143625"/>
          <a:ext cx="1343025" cy="290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160682</xdr:colOff>
      <xdr:row>42</xdr:row>
      <xdr:rowOff>117589</xdr:rowOff>
    </xdr:from>
    <xdr:to>
      <xdr:col>9</xdr:col>
      <xdr:colOff>542925</xdr:colOff>
      <xdr:row>44</xdr:row>
      <xdr:rowOff>126314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25B103-5557-4393-B33F-81025F571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117" y="7928089"/>
          <a:ext cx="1343025" cy="290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662609</xdr:colOff>
      <xdr:row>31</xdr:row>
      <xdr:rowOff>107674</xdr:rowOff>
    </xdr:from>
    <xdr:to>
      <xdr:col>9</xdr:col>
      <xdr:colOff>514764</xdr:colOff>
      <xdr:row>33</xdr:row>
      <xdr:rowOff>116399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F11340-217C-40B3-9863-1E2FF134A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652" y="8257761"/>
          <a:ext cx="1343025" cy="2903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339587</xdr:colOff>
      <xdr:row>20</xdr:row>
      <xdr:rowOff>110056</xdr:rowOff>
    </xdr:from>
    <xdr:to>
      <xdr:col>6</xdr:col>
      <xdr:colOff>165755</xdr:colOff>
      <xdr:row>38</xdr:row>
      <xdr:rowOff>24020</xdr:rowOff>
    </xdr:to>
    <xdr:graphicFrame macro="">
      <xdr:nvGraphicFramePr>
        <xdr:cNvPr id="2" name="Chart 1" descr="&lt;?xml version=&quot;1.0&quot; encoding=&quot;utf-16&quot;?&gt;&#10;&lt;ChartInfo xmlns:xsi=&quot;http://www.w3.org/2001/XMLSchema-instance&quot; xmlns:xsd=&quot;http://www.w3.org/2001/XMLSchema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chart,left&quot; IsRe=&quot;1&quot; /&gt;&#10;      &lt;/Value&gt;&#10;    &lt;/Item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99&lt;/int&gt;&#10;      &lt;/Key&gt;&#10;      &lt;Value&gt;&#10;        &lt;Cmd case=&quot;datalabels_pos&quot; val=&quot;outside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-1&lt;/int&gt;&#10;      &lt;/Key&gt;&#10;      &lt;Value&gt;&#10;        &lt;Cmd case=&quot;copy_fill&quot; input=&quot;@templ&quot; hc-path=&quot;C:\Users\ngv\AppData\Local\OfficeExtensions\Content\CorporateCharts\Ramboll Secondary&quot; IsRe=&quot;1&quot; /&gt;&#10;      &lt;/Value&gt;&#10;    &lt;/Item&gt;&#10;  &lt;/FunctionHistory&gt;&#10;  &lt;TypeSet&gt;true&lt;/TypeSet&gt;&#10;  &lt;ChartType&gt;65&lt;/ChartType&gt;&#10;  &lt;UsedPath&gt;C:\Users\ngv\AppData\Local\OfficeExtensions\Content\CorporateCharts\Line Chart&lt;/UsedPath&gt;&#10;&lt;/ChartInfo&gt;">
          <a:extLst>
            <a:ext uri="{FF2B5EF4-FFF2-40B4-BE49-F238E27FC236}">
              <a16:creationId xmlns:a16="http://schemas.microsoft.com/office/drawing/2014/main" id="{6A742A22-DF5B-472C-9BAE-A30E96D14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430696</xdr:colOff>
      <xdr:row>56</xdr:row>
      <xdr:rowOff>49696</xdr:rowOff>
    </xdr:from>
    <xdr:to>
      <xdr:col>11</xdr:col>
      <xdr:colOff>945461</xdr:colOff>
      <xdr:row>56</xdr:row>
      <xdr:rowOff>49696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B429AF-73AF-4A92-A021-9E66C88AF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096" y="10755796"/>
          <a:ext cx="1391064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198782</xdr:colOff>
      <xdr:row>57</xdr:row>
      <xdr:rowOff>718</xdr:rowOff>
    </xdr:from>
    <xdr:to>
      <xdr:col>11</xdr:col>
      <xdr:colOff>811695</xdr:colOff>
      <xdr:row>59</xdr:row>
      <xdr:rowOff>26925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0EFA8C-E0A3-4098-AD0A-96DAEBF4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182" y="10849693"/>
          <a:ext cx="1489212" cy="311957"/>
        </a:xfrm>
        <a:prstGeom prst="rect">
          <a:avLst/>
        </a:prstGeom>
      </xdr:spPr>
    </xdr:pic>
    <xdr:clientData/>
  </xdr:twoCellAnchor>
  <xdr:twoCellAnchor>
    <xdr:from>
      <xdr:col>6</xdr:col>
      <xdr:colOff>356152</xdr:colOff>
      <xdr:row>20</xdr:row>
      <xdr:rowOff>110056</xdr:rowOff>
    </xdr:from>
    <xdr:to>
      <xdr:col>11</xdr:col>
      <xdr:colOff>687559</xdr:colOff>
      <xdr:row>38</xdr:row>
      <xdr:rowOff>24020</xdr:rowOff>
    </xdr:to>
    <xdr:graphicFrame macro="">
      <xdr:nvGraphicFramePr>
        <xdr:cNvPr id="7" name="Chart 6" descr="&lt;?xml version=&quot;1.0&quot; encoding=&quot;utf-16&quot;?&gt;&#10;&lt;ChartInfo xmlns:xsi=&quot;http://www.w3.org/2001/XMLSchema-instance&quot; xmlns:xsd=&quot;http://www.w3.org/2001/XMLSchema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chart,left&quot; IsRe=&quot;1&quot; /&gt;&#10;      &lt;/Value&gt;&#10;    &lt;/Item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99&lt;/int&gt;&#10;      &lt;/Key&gt;&#10;      &lt;Value&gt;&#10;        &lt;Cmd case=&quot;datalabels_pos&quot; val=&quot;outside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-1&lt;/int&gt;&#10;      &lt;/Key&gt;&#10;      &lt;Value&gt;&#10;        &lt;Cmd case=&quot;copy_fill&quot; input=&quot;@templ&quot; hc-path=&quot;C:\Users\ngv\AppData\Local\OfficeExtensions\Content\CorporateCharts\Ramboll Secondary&quot; IsRe=&quot;1&quot; /&gt;&#10;      &lt;/Value&gt;&#10;    &lt;/Item&gt;&#10;  &lt;/FunctionHistory&gt;&#10;  &lt;TypeSet&gt;true&lt;/TypeSet&gt;&#10;  &lt;ChartType&gt;65&lt;/ChartType&gt;&#10;  &lt;UsedPath&gt;C:\Users\ngv\AppData\Local\OfficeExtensions\Content\CorporateCharts\Line Chart&lt;/UsedPath&gt;&#10;&lt;/ChartInfo&gt;">
          <a:extLst>
            <a:ext uri="{FF2B5EF4-FFF2-40B4-BE49-F238E27FC236}">
              <a16:creationId xmlns:a16="http://schemas.microsoft.com/office/drawing/2014/main" id="{03CDC5E7-E0B0-429E-8D9E-E2825F7F2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339587</xdr:colOff>
      <xdr:row>25</xdr:row>
      <xdr:rowOff>110056</xdr:rowOff>
    </xdr:from>
    <xdr:to>
      <xdr:col>5</xdr:col>
      <xdr:colOff>1036487</xdr:colOff>
      <xdr:row>43</xdr:row>
      <xdr:rowOff>24020</xdr:rowOff>
    </xdr:to>
    <xdr:graphicFrame macro="">
      <xdr:nvGraphicFramePr>
        <xdr:cNvPr id="2" name="Chart 1" descr="&lt;?xml version=&quot;1.0&quot; encoding=&quot;utf-16&quot;?&gt;&#10;&lt;ChartInfo xmlns:xsi=&quot;http://www.w3.org/2001/XMLSchema-instance&quot; xmlns:xsd=&quot;http://www.w3.org/2001/XMLSchema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chart,left&quot; IsRe=&quot;1&quot; /&gt;&#10;      &lt;/Value&gt;&#10;    &lt;/Item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99&lt;/int&gt;&#10;      &lt;/Key&gt;&#10;      &lt;Value&gt;&#10;        &lt;Cmd case=&quot;datalabels_pos&quot; val=&quot;outside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-1&lt;/int&gt;&#10;      &lt;/Key&gt;&#10;      &lt;Value&gt;&#10;        &lt;Cmd case=&quot;copy_fill&quot; input=&quot;@templ&quot; hc-path=&quot;C:\Users\ngv\AppData\Local\OfficeExtensions\Content\CorporateCharts\Ramboll Secondary&quot; IsRe=&quot;1&quot; /&gt;&#10;      &lt;/Value&gt;&#10;    &lt;/Item&gt;&#10;  &lt;/FunctionHistory&gt;&#10;  &lt;TypeSet&gt;true&lt;/TypeSet&gt;&#10;  &lt;ChartType&gt;65&lt;/ChartType&gt;&#10;  &lt;UsedPath&gt;C:\Users\ngv\AppData\Local\OfficeExtensions\Content\CorporateCharts\Line Chart&lt;/UsedPath&gt;&#10;&lt;/ChartInfo&gt;">
          <a:extLst>
            <a:ext uri="{FF2B5EF4-FFF2-40B4-BE49-F238E27FC236}">
              <a16:creationId xmlns:a16="http://schemas.microsoft.com/office/drawing/2014/main" id="{53B9E0B8-630D-4A4A-857A-50F392028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430696</xdr:colOff>
      <xdr:row>46</xdr:row>
      <xdr:rowOff>49696</xdr:rowOff>
    </xdr:from>
    <xdr:to>
      <xdr:col>11</xdr:col>
      <xdr:colOff>945461</xdr:colOff>
      <xdr:row>46</xdr:row>
      <xdr:rowOff>49696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A084E2-B0B8-4BFA-9232-7C61D5ED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5371" y="13213246"/>
          <a:ext cx="1391065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198782</xdr:colOff>
      <xdr:row>47</xdr:row>
      <xdr:rowOff>718</xdr:rowOff>
    </xdr:from>
    <xdr:to>
      <xdr:col>11</xdr:col>
      <xdr:colOff>811695</xdr:colOff>
      <xdr:row>49</xdr:row>
      <xdr:rowOff>26925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EE21F4-A620-4540-8564-7E6A1275F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3457" y="13307143"/>
          <a:ext cx="1489213" cy="31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ambøll_2021">
      <a:dk1>
        <a:srgbClr val="000000"/>
      </a:dk1>
      <a:lt1>
        <a:srgbClr val="FFFFFF"/>
      </a:lt1>
      <a:dk2>
        <a:srgbClr val="009DF0"/>
      </a:dk2>
      <a:lt2>
        <a:srgbClr val="273943"/>
      </a:lt2>
      <a:accent1>
        <a:srgbClr val="05326E"/>
      </a:accent1>
      <a:accent2>
        <a:srgbClr val="125A40"/>
      </a:accent2>
      <a:accent3>
        <a:srgbClr val="ADD095"/>
      </a:accent3>
      <a:accent4>
        <a:srgbClr val="62294B"/>
      </a:accent4>
      <a:accent5>
        <a:srgbClr val="FF8855"/>
      </a:accent5>
      <a:accent6>
        <a:srgbClr val="E3E1D8"/>
      </a:accent6>
      <a:hlink>
        <a:srgbClr val="009DF0"/>
      </a:hlink>
      <a:folHlink>
        <a:srgbClr val="CCEB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abSelected="1" zoomScaleNormal="100" workbookViewId="0"/>
  </sheetViews>
  <sheetFormatPr defaultColWidth="0" defaultRowHeight="0" customHeight="1" zeroHeight="1" x14ac:dyDescent="0.2"/>
  <cols>
    <col min="1" max="1" width="14.109375" style="4" customWidth="1"/>
    <col min="2" max="2" width="18" style="4" customWidth="1"/>
    <col min="3" max="3" width="23.5546875" style="4" customWidth="1"/>
    <col min="4" max="4" width="11.6640625" style="4" bestFit="1" customWidth="1"/>
    <col min="5" max="6" width="10.44140625" style="4" customWidth="1"/>
    <col min="7" max="10" width="11.109375" style="4" customWidth="1"/>
    <col min="11" max="11" width="11.5546875" style="4" customWidth="1"/>
    <col min="12" max="12" width="29.88671875" style="4" customWidth="1"/>
    <col min="13" max="13" width="0" style="1" hidden="1" customWidth="1"/>
    <col min="14" max="16384" width="11.109375" style="1" hidden="1"/>
  </cols>
  <sheetData>
    <row r="1" spans="1:13" ht="19.5" customHeight="1" x14ac:dyDescent="0.3">
      <c r="B1" s="2"/>
    </row>
    <row r="2" spans="1:13" ht="23.25" customHeight="1" x14ac:dyDescent="0.2">
      <c r="B2" s="5"/>
      <c r="I2" s="6"/>
      <c r="J2" s="6"/>
      <c r="K2" s="6"/>
      <c r="M2" s="7"/>
    </row>
    <row r="3" spans="1:13" ht="11.4" x14ac:dyDescent="0.2"/>
    <row r="4" spans="1:13" s="8" customFormat="1" ht="11.4" x14ac:dyDescent="0.2">
      <c r="A4" s="31"/>
      <c r="B4" s="27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s="8" customFormat="1" ht="11.4" x14ac:dyDescent="0.2">
      <c r="A5" s="31"/>
      <c r="B5" s="3"/>
      <c r="C5" s="32"/>
      <c r="D5" s="33"/>
      <c r="E5" s="34"/>
      <c r="F5" s="34"/>
      <c r="G5" s="34"/>
      <c r="H5" s="34"/>
      <c r="I5" s="34"/>
      <c r="J5" s="34"/>
      <c r="K5" s="34"/>
      <c r="L5" s="31"/>
    </row>
    <row r="6" spans="1:13" s="8" customFormat="1" ht="11.4" x14ac:dyDescent="0.2">
      <c r="A6" s="31"/>
      <c r="B6" s="32"/>
      <c r="C6" s="32"/>
      <c r="D6" s="33"/>
      <c r="E6" s="34"/>
      <c r="F6" s="34"/>
      <c r="G6" s="34"/>
      <c r="H6" s="34"/>
      <c r="I6" s="34"/>
      <c r="J6" s="34"/>
      <c r="K6" s="34"/>
      <c r="L6" s="31"/>
    </row>
    <row r="7" spans="1:13" s="8" customFormat="1" ht="11.4" x14ac:dyDescent="0.2">
      <c r="A7" s="31"/>
      <c r="B7" s="218" t="s">
        <v>0</v>
      </c>
      <c r="C7" s="218"/>
      <c r="D7" s="218"/>
      <c r="E7" s="218"/>
      <c r="F7" s="218"/>
      <c r="G7" s="218"/>
      <c r="H7" s="218"/>
      <c r="I7" s="218"/>
      <c r="J7" s="218"/>
      <c r="K7" s="218"/>
      <c r="L7" s="31"/>
    </row>
    <row r="8" spans="1:13" s="8" customFormat="1" ht="11.4" x14ac:dyDescent="0.2">
      <c r="A8" s="31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31"/>
    </row>
    <row r="9" spans="1:13" s="8" customFormat="1" ht="11.4" x14ac:dyDescent="0.2">
      <c r="A9" s="31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31"/>
    </row>
    <row r="10" spans="1:13" s="8" customFormat="1" ht="11.4" x14ac:dyDescent="0.2">
      <c r="A10" s="31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31"/>
    </row>
    <row r="11" spans="1:13" s="8" customFormat="1" ht="11.4" x14ac:dyDescent="0.2">
      <c r="A11" s="31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31"/>
    </row>
    <row r="12" spans="1:13" s="8" customFormat="1" ht="11.4" x14ac:dyDescent="0.2">
      <c r="A12" s="31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31"/>
    </row>
    <row r="13" spans="1:13" s="8" customFormat="1" ht="51.75" customHeight="1" x14ac:dyDescent="0.2">
      <c r="A13" s="31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31"/>
    </row>
    <row r="14" spans="1:13" s="8" customFormat="1" ht="11.4" x14ac:dyDescent="0.2">
      <c r="A14" s="31"/>
      <c r="B14" s="35"/>
      <c r="C14" s="35"/>
      <c r="D14" s="36"/>
      <c r="E14" s="4"/>
      <c r="F14" s="4"/>
      <c r="G14" s="4"/>
      <c r="H14" s="4"/>
      <c r="I14" s="4"/>
      <c r="J14" s="4"/>
      <c r="K14" s="4"/>
      <c r="L14" s="31"/>
    </row>
    <row r="15" spans="1:13" s="8" customFormat="1" ht="11.4" x14ac:dyDescent="0.2">
      <c r="A15" s="31"/>
      <c r="B15" s="37"/>
      <c r="C15" s="35"/>
      <c r="D15" s="36"/>
      <c r="E15" s="4"/>
      <c r="F15" s="4"/>
      <c r="G15" s="4"/>
      <c r="H15" s="4"/>
      <c r="I15" s="4"/>
      <c r="J15" s="4"/>
      <c r="K15" s="4"/>
      <c r="L15" s="31"/>
    </row>
    <row r="16" spans="1:13" s="8" customFormat="1" ht="13.8" x14ac:dyDescent="0.25">
      <c r="A16" s="31"/>
      <c r="B16" s="38"/>
      <c r="C16" s="35"/>
      <c r="D16" s="36"/>
      <c r="E16" s="4"/>
      <c r="F16" s="4"/>
      <c r="G16" s="4"/>
      <c r="H16" s="4"/>
      <c r="I16" s="4"/>
      <c r="J16" s="4"/>
      <c r="K16" s="4"/>
      <c r="L16" s="31"/>
    </row>
    <row r="17" spans="1:12" s="8" customFormat="1" ht="13.8" x14ac:dyDescent="0.25">
      <c r="A17" s="31"/>
      <c r="B17" s="38"/>
      <c r="C17" s="35"/>
      <c r="D17" s="36"/>
      <c r="E17" s="4"/>
      <c r="F17" s="4"/>
      <c r="G17" s="4"/>
      <c r="H17" s="4"/>
      <c r="I17" s="4"/>
      <c r="J17" s="4"/>
      <c r="K17" s="4"/>
      <c r="L17" s="31"/>
    </row>
    <row r="18" spans="1:12" s="8" customFormat="1" ht="13.8" x14ac:dyDescent="0.25">
      <c r="A18" s="31"/>
      <c r="B18" s="38"/>
      <c r="C18" s="35"/>
      <c r="D18" s="36"/>
      <c r="E18" s="4"/>
      <c r="F18" s="4"/>
      <c r="G18" s="4"/>
      <c r="H18" s="4"/>
      <c r="I18" s="4"/>
      <c r="J18" s="4"/>
      <c r="K18" s="4"/>
      <c r="L18" s="31"/>
    </row>
    <row r="19" spans="1:12" s="8" customFormat="1" ht="11.4" x14ac:dyDescent="0.2">
      <c r="A19" s="31"/>
      <c r="B19" s="35"/>
      <c r="C19" s="35"/>
      <c r="D19" s="36"/>
      <c r="E19" s="4"/>
      <c r="F19" s="4"/>
      <c r="G19" s="4"/>
      <c r="H19" s="4"/>
      <c r="I19" s="4"/>
      <c r="J19" s="4"/>
      <c r="K19" s="4"/>
      <c r="L19" s="31"/>
    </row>
    <row r="20" spans="1:12" s="8" customFormat="1" ht="13.8" x14ac:dyDescent="0.25">
      <c r="A20" s="31"/>
      <c r="B20" s="39"/>
      <c r="C20" s="35"/>
      <c r="D20" s="33"/>
      <c r="E20" s="4"/>
      <c r="F20" s="4"/>
      <c r="G20" s="4"/>
      <c r="H20" s="4"/>
      <c r="I20" s="4"/>
      <c r="J20" s="4"/>
      <c r="K20" s="4"/>
      <c r="L20" s="31"/>
    </row>
    <row r="21" spans="1:12" ht="11.4" x14ac:dyDescent="0.2"/>
    <row r="22" spans="1:12" s="8" customFormat="1" ht="11.4" x14ac:dyDescent="0.2">
      <c r="A22" s="31"/>
      <c r="B22" s="27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s="8" customFormat="1" ht="9.75" customHeight="1" x14ac:dyDescent="0.2">
      <c r="A23" s="31"/>
      <c r="B23" s="40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s="8" customFormat="1" ht="11.4" x14ac:dyDescent="0.2">
      <c r="A24" s="31"/>
      <c r="B24" s="41"/>
      <c r="C24" s="32"/>
      <c r="D24" s="42"/>
      <c r="E24" s="34"/>
      <c r="F24" s="34"/>
      <c r="G24" s="34"/>
      <c r="H24" s="34"/>
      <c r="I24" s="34"/>
      <c r="J24" s="34"/>
      <c r="K24" s="34"/>
      <c r="L24" s="31"/>
    </row>
    <row r="25" spans="1:12" s="8" customFormat="1" ht="13.8" x14ac:dyDescent="0.25">
      <c r="A25" s="31"/>
      <c r="B25" s="41"/>
      <c r="C25" s="35"/>
      <c r="D25" s="42"/>
      <c r="E25" s="34"/>
      <c r="F25" s="39"/>
      <c r="G25" s="34"/>
      <c r="H25" s="34"/>
      <c r="I25" s="34"/>
      <c r="J25" s="34"/>
      <c r="K25" s="34"/>
      <c r="L25" s="31"/>
    </row>
    <row r="26" spans="1:12" s="8" customFormat="1" ht="11.4" x14ac:dyDescent="0.2">
      <c r="A26" s="31"/>
      <c r="B26" s="41"/>
      <c r="C26" s="34"/>
      <c r="D26" s="42"/>
      <c r="E26" s="34"/>
      <c r="F26" s="34"/>
      <c r="G26" s="34"/>
      <c r="H26" s="34"/>
      <c r="I26" s="34"/>
      <c r="J26" s="34"/>
      <c r="K26" s="34"/>
      <c r="L26" s="31"/>
    </row>
    <row r="27" spans="1:12" s="8" customFormat="1" ht="11.4" x14ac:dyDescent="0.2">
      <c r="A27" s="31"/>
      <c r="B27" s="43"/>
      <c r="C27" s="34"/>
      <c r="D27" s="42"/>
      <c r="E27" s="34"/>
      <c r="F27" s="34"/>
      <c r="G27" s="34"/>
      <c r="H27" s="34"/>
      <c r="I27" s="34"/>
      <c r="J27" s="34"/>
      <c r="K27" s="34"/>
      <c r="L27" s="31"/>
    </row>
    <row r="28" spans="1:12" s="8" customFormat="1" ht="11.4" x14ac:dyDescent="0.2">
      <c r="A28" s="31"/>
      <c r="B28" s="41"/>
      <c r="C28" s="32"/>
      <c r="D28" s="42"/>
      <c r="E28" s="34"/>
      <c r="F28" s="34"/>
      <c r="G28" s="34"/>
      <c r="H28" s="34"/>
      <c r="I28" s="34"/>
      <c r="J28" s="34"/>
      <c r="K28" s="34"/>
      <c r="L28" s="31"/>
    </row>
    <row r="29" spans="1:12" s="8" customFormat="1" ht="13.8" x14ac:dyDescent="0.25">
      <c r="A29" s="31"/>
      <c r="B29" s="41"/>
      <c r="C29" s="35"/>
      <c r="D29" s="42"/>
      <c r="E29" s="34"/>
      <c r="F29" s="39"/>
      <c r="G29" s="34"/>
      <c r="H29" s="34"/>
      <c r="I29" s="34"/>
      <c r="J29" s="34"/>
      <c r="K29" s="34"/>
      <c r="L29" s="31"/>
    </row>
    <row r="30" spans="1:12" s="8" customFormat="1" ht="11.4" x14ac:dyDescent="0.2">
      <c r="A30" s="31"/>
      <c r="B30" s="41"/>
      <c r="C30" s="34"/>
      <c r="D30" s="42"/>
      <c r="E30" s="34"/>
      <c r="F30" s="34"/>
      <c r="G30" s="34"/>
      <c r="H30" s="34"/>
      <c r="I30" s="34"/>
      <c r="J30" s="34"/>
      <c r="K30" s="34"/>
      <c r="L30" s="31"/>
    </row>
    <row r="31" spans="1:12" s="8" customFormat="1" ht="11.4" x14ac:dyDescent="0.2">
      <c r="A31" s="31"/>
      <c r="B31" s="43"/>
      <c r="C31" s="34"/>
      <c r="D31" s="42"/>
      <c r="E31" s="34"/>
      <c r="F31" s="34"/>
      <c r="G31" s="34"/>
      <c r="H31" s="34"/>
      <c r="I31" s="34"/>
      <c r="J31" s="34"/>
      <c r="K31" s="34"/>
      <c r="L31" s="31"/>
    </row>
    <row r="32" spans="1:12" s="8" customFormat="1" ht="11.4" x14ac:dyDescent="0.2">
      <c r="A32" s="31"/>
      <c r="B32" s="41"/>
      <c r="C32" s="32"/>
      <c r="D32" s="42"/>
      <c r="E32" s="34"/>
      <c r="F32" s="34"/>
      <c r="G32" s="34"/>
      <c r="H32" s="34"/>
      <c r="I32" s="34"/>
      <c r="J32" s="34"/>
      <c r="K32" s="34"/>
      <c r="L32" s="31"/>
    </row>
    <row r="33" spans="1:12" s="8" customFormat="1" ht="13.8" x14ac:dyDescent="0.25">
      <c r="A33" s="31"/>
      <c r="B33" s="31" t="s">
        <v>1</v>
      </c>
      <c r="C33" s="35"/>
      <c r="D33" s="42"/>
      <c r="E33" s="34"/>
      <c r="F33" s="39"/>
      <c r="G33" s="34"/>
      <c r="H33" s="34"/>
      <c r="I33" s="34"/>
      <c r="J33" s="34"/>
      <c r="K33" s="34"/>
      <c r="L33" s="31"/>
    </row>
    <row r="34" spans="1:12" s="8" customFormat="1" ht="11.4" x14ac:dyDescent="0.2">
      <c r="A34" s="31"/>
      <c r="B34" s="31" t="s">
        <v>2</v>
      </c>
      <c r="C34" s="34"/>
      <c r="D34" s="42"/>
      <c r="E34" s="34"/>
      <c r="F34" s="34"/>
      <c r="G34" s="34"/>
      <c r="H34" s="34"/>
      <c r="I34" s="34"/>
      <c r="J34" s="34"/>
      <c r="K34" s="34"/>
      <c r="L34" s="31"/>
    </row>
    <row r="35" spans="1:12" s="8" customFormat="1" ht="11.4" x14ac:dyDescent="0.2">
      <c r="A35" s="31"/>
      <c r="B35" s="44" t="s">
        <v>3</v>
      </c>
      <c r="C35" s="34"/>
      <c r="D35" s="42"/>
      <c r="E35" s="34"/>
      <c r="F35" s="34"/>
      <c r="G35" s="34"/>
      <c r="H35" s="34"/>
      <c r="I35" s="34"/>
      <c r="J35" s="34"/>
      <c r="K35" s="34"/>
      <c r="L35" s="31"/>
    </row>
    <row r="36" spans="1:12" s="8" customFormat="1" ht="11.4" x14ac:dyDescent="0.2">
      <c r="A36" s="31"/>
      <c r="B36" s="41"/>
      <c r="C36" s="32"/>
      <c r="D36" s="42"/>
      <c r="E36" s="34"/>
      <c r="F36" s="34"/>
      <c r="G36" s="34"/>
      <c r="H36" s="34"/>
      <c r="I36" s="34"/>
      <c r="J36" s="34"/>
      <c r="K36" s="34"/>
      <c r="L36" s="45"/>
    </row>
    <row r="37" spans="1:12" s="8" customFormat="1" ht="13.8" x14ac:dyDescent="0.25">
      <c r="A37" s="31"/>
      <c r="B37" s="41"/>
      <c r="C37" s="35"/>
      <c r="D37" s="42"/>
      <c r="E37" s="34"/>
      <c r="F37" s="39"/>
      <c r="G37" s="34"/>
      <c r="H37" s="34"/>
      <c r="I37" s="34"/>
      <c r="J37" s="34"/>
      <c r="K37" s="34"/>
      <c r="L37" s="31"/>
    </row>
    <row r="38" spans="1:12" s="8" customFormat="1" ht="11.4" x14ac:dyDescent="0.2">
      <c r="A38" s="31"/>
      <c r="B38" s="41"/>
      <c r="C38" s="34"/>
      <c r="D38" s="42"/>
      <c r="E38" s="34"/>
      <c r="F38" s="34"/>
      <c r="G38" s="34"/>
      <c r="H38" s="34"/>
      <c r="I38" s="34"/>
      <c r="J38" s="34"/>
      <c r="K38" s="34"/>
      <c r="L38" s="31"/>
    </row>
    <row r="39" spans="1:12" s="8" customFormat="1" ht="11.4" x14ac:dyDescent="0.2">
      <c r="A39" s="31"/>
      <c r="B39" s="43"/>
      <c r="C39" s="34"/>
      <c r="D39" s="42"/>
      <c r="E39" s="34"/>
      <c r="F39" s="34"/>
      <c r="G39" s="34"/>
      <c r="H39" s="34"/>
      <c r="I39" s="34"/>
      <c r="J39" s="34"/>
      <c r="K39" s="34"/>
      <c r="L39" s="31"/>
    </row>
    <row r="40" spans="1:12" s="8" customFormat="1" ht="11.4" x14ac:dyDescent="0.2">
      <c r="A40" s="31"/>
      <c r="B40" s="41"/>
      <c r="C40" s="32"/>
      <c r="D40" s="42"/>
      <c r="E40" s="34"/>
      <c r="F40" s="34"/>
      <c r="G40" s="34"/>
      <c r="H40" s="34"/>
      <c r="I40" s="34"/>
      <c r="J40" s="34"/>
      <c r="K40" s="34"/>
      <c r="L40" s="31"/>
    </row>
    <row r="41" spans="1:12" s="8" customFormat="1" ht="13.8" x14ac:dyDescent="0.25">
      <c r="A41" s="31"/>
      <c r="B41" s="41"/>
      <c r="C41" s="35"/>
      <c r="D41" s="42"/>
      <c r="E41" s="34"/>
      <c r="F41" s="39"/>
      <c r="G41" s="34"/>
      <c r="H41" s="34"/>
      <c r="I41" s="34"/>
      <c r="J41" s="34"/>
      <c r="K41" s="34"/>
      <c r="L41" s="31"/>
    </row>
    <row r="42" spans="1:12" s="8" customFormat="1" ht="11.4" x14ac:dyDescent="0.2">
      <c r="A42" s="31"/>
      <c r="B42" s="41"/>
      <c r="C42" s="34"/>
      <c r="D42" s="42"/>
      <c r="E42" s="34"/>
      <c r="F42" s="34"/>
      <c r="G42" s="34"/>
      <c r="H42" s="34"/>
      <c r="I42" s="34"/>
      <c r="J42" s="34"/>
      <c r="K42" s="34"/>
      <c r="L42" s="31"/>
    </row>
    <row r="43" spans="1:12" s="8" customFormat="1" ht="11.4" x14ac:dyDescent="0.2">
      <c r="A43" s="31"/>
      <c r="B43" s="40"/>
      <c r="C43" s="34"/>
      <c r="D43" s="42"/>
      <c r="E43" s="34"/>
      <c r="F43" s="34"/>
      <c r="G43" s="34"/>
      <c r="H43" s="34"/>
      <c r="I43" s="34"/>
      <c r="J43" s="34"/>
      <c r="K43" s="34"/>
      <c r="L43" s="31"/>
    </row>
    <row r="44" spans="1:12" ht="11.4" x14ac:dyDescent="0.2">
      <c r="B44" s="41"/>
      <c r="C44" s="32"/>
      <c r="D44" s="42"/>
      <c r="E44" s="34"/>
      <c r="F44" s="34"/>
      <c r="G44" s="34"/>
      <c r="H44" s="34"/>
      <c r="I44" s="34"/>
      <c r="J44" s="34"/>
      <c r="K44" s="34"/>
    </row>
    <row r="45" spans="1:12" ht="13.8" x14ac:dyDescent="0.25">
      <c r="B45" s="41"/>
      <c r="C45" s="35"/>
      <c r="D45" s="42"/>
      <c r="F45" s="39"/>
    </row>
    <row r="46" spans="1:12" ht="11.4" hidden="1" x14ac:dyDescent="0.2">
      <c r="B46" s="41"/>
      <c r="C46" s="34"/>
      <c r="D46" s="42"/>
      <c r="E46" s="45"/>
      <c r="F46" s="45"/>
    </row>
    <row r="47" spans="1:12" ht="13.8" hidden="1" x14ac:dyDescent="0.25">
      <c r="B47" s="39"/>
      <c r="C47" s="35"/>
      <c r="D47" s="46"/>
      <c r="E47" s="45"/>
      <c r="F47" s="45"/>
    </row>
    <row r="48" spans="1:12" ht="11.4" hidden="1" x14ac:dyDescent="0.2">
      <c r="B48" s="32"/>
      <c r="C48" s="35"/>
    </row>
    <row r="49" spans="2:3" s="4" customFormat="1" ht="11.4" hidden="1" x14ac:dyDescent="0.2"/>
    <row r="50" spans="2:3" s="4" customFormat="1" ht="11.4" hidden="1" x14ac:dyDescent="0.2">
      <c r="B50" s="47"/>
      <c r="C50" s="48"/>
    </row>
    <row r="51" spans="2:3" s="4" customFormat="1" ht="11.4" hidden="1" x14ac:dyDescent="0.2">
      <c r="B51" s="45"/>
    </row>
    <row r="52" spans="2:3" s="4" customFormat="1" ht="11.4" hidden="1" x14ac:dyDescent="0.2">
      <c r="B52" s="45"/>
    </row>
    <row r="53" spans="2:3" s="4" customFormat="1" ht="11.4" hidden="1" x14ac:dyDescent="0.2"/>
    <row r="54" spans="2:3" s="4" customFormat="1" ht="11.4" hidden="1" x14ac:dyDescent="0.2"/>
    <row r="55" spans="2:3" s="4" customFormat="1" ht="11.4" hidden="1" x14ac:dyDescent="0.2"/>
    <row r="56" spans="2:3" s="4" customFormat="1" ht="11.4" hidden="1" x14ac:dyDescent="0.2"/>
    <row r="57" spans="2:3" s="4" customFormat="1" ht="11.4" hidden="1" x14ac:dyDescent="0.2"/>
    <row r="58" spans="2:3" s="4" customFormat="1" ht="11.4" hidden="1" x14ac:dyDescent="0.2"/>
    <row r="59" spans="2:3" s="4" customFormat="1" ht="11.4" hidden="1" x14ac:dyDescent="0.2"/>
    <row r="60" spans="2:3" s="4" customFormat="1" ht="11.4" hidden="1" x14ac:dyDescent="0.2"/>
    <row r="61" spans="2:3" s="4" customFormat="1" ht="11.4" hidden="1" x14ac:dyDescent="0.2"/>
    <row r="62" spans="2:3" s="4" customFormat="1" ht="11.4" hidden="1" x14ac:dyDescent="0.2"/>
    <row r="63" spans="2:3" s="4" customFormat="1" ht="11.4" hidden="1" x14ac:dyDescent="0.2"/>
    <row r="64" spans="2:3" s="4" customFormat="1" ht="11.4" hidden="1" x14ac:dyDescent="0.2"/>
    <row r="65" s="4" customFormat="1" ht="11.4" hidden="1" x14ac:dyDescent="0.2"/>
    <row r="66" s="4" customFormat="1" ht="11.4" hidden="1" x14ac:dyDescent="0.2"/>
    <row r="67" s="4" customFormat="1" ht="11.4" hidden="1" x14ac:dyDescent="0.2"/>
    <row r="68" s="4" customFormat="1" ht="11.4" hidden="1" x14ac:dyDescent="0.2"/>
    <row r="69" s="4" customFormat="1" ht="11.4" hidden="1" x14ac:dyDescent="0.2"/>
    <row r="70" s="4" customFormat="1" ht="11.4" hidden="1" x14ac:dyDescent="0.2"/>
    <row r="71" ht="11.25" hidden="1" customHeight="1" x14ac:dyDescent="0.2"/>
    <row r="72" ht="11.25" hidden="1" customHeight="1" x14ac:dyDescent="0.2"/>
    <row r="73" ht="11.25" hidden="1" customHeight="1" x14ac:dyDescent="0.2"/>
    <row r="74" ht="11.25" hidden="1" customHeight="1" x14ac:dyDescent="0.2"/>
    <row r="75" ht="11.25" hidden="1" customHeight="1" x14ac:dyDescent="0.2"/>
    <row r="76" ht="11.25" hidden="1" customHeight="1" x14ac:dyDescent="0.2"/>
  </sheetData>
  <mergeCells count="1">
    <mergeCell ref="B7:K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workbookViewId="0">
      <selection activeCell="B1" sqref="B1"/>
    </sheetView>
  </sheetViews>
  <sheetFormatPr defaultColWidth="0" defaultRowHeight="0" customHeight="1" zeroHeight="1" x14ac:dyDescent="0.2"/>
  <cols>
    <col min="1" max="1" width="2.5546875" style="1" customWidth="1"/>
    <col min="2" max="2" width="51.88671875" style="1" customWidth="1"/>
    <col min="3" max="3" width="7.6640625" style="1" customWidth="1"/>
    <col min="4" max="4" width="15" style="1" customWidth="1"/>
    <col min="5" max="5" width="16.33203125" style="1" customWidth="1"/>
    <col min="6" max="6" width="14.88671875" style="1" customWidth="1"/>
    <col min="7" max="7" width="15.109375" style="1" bestFit="1" customWidth="1"/>
    <col min="8" max="8" width="12.88671875" style="1" bestFit="1" customWidth="1"/>
    <col min="9" max="9" width="15.109375" style="1" customWidth="1"/>
    <col min="10" max="10" width="16.33203125" style="1" customWidth="1"/>
    <col min="11" max="11" width="11.109375" style="1" customWidth="1"/>
    <col min="12" max="16" width="0" style="1" hidden="1" customWidth="1"/>
    <col min="17" max="16384" width="11.109375" style="1" hidden="1"/>
  </cols>
  <sheetData>
    <row r="1" spans="1:16" ht="19.5" customHeight="1" x14ac:dyDescent="0.3">
      <c r="B1" s="2" t="s">
        <v>4</v>
      </c>
      <c r="C1" s="3"/>
      <c r="D1" s="4"/>
      <c r="E1" s="4"/>
      <c r="F1" s="4"/>
      <c r="G1" s="4"/>
      <c r="H1" s="4"/>
      <c r="I1" s="4"/>
      <c r="J1" s="4"/>
    </row>
    <row r="2" spans="1:16" ht="23.25" customHeight="1" x14ac:dyDescent="0.2">
      <c r="B2" s="28" t="s">
        <v>5</v>
      </c>
      <c r="C2" s="4"/>
      <c r="D2" s="4"/>
      <c r="E2" s="4"/>
      <c r="F2" s="4"/>
      <c r="G2" s="4"/>
      <c r="H2" s="6"/>
      <c r="I2" s="6"/>
      <c r="J2" s="6" t="s">
        <v>6</v>
      </c>
      <c r="L2" s="7"/>
    </row>
    <row r="3" spans="1:16" ht="11.4" x14ac:dyDescent="0.2"/>
    <row r="4" spans="1:16" s="8" customFormat="1" ht="11.4" x14ac:dyDescent="0.2">
      <c r="B4" s="89" t="s">
        <v>7</v>
      </c>
      <c r="C4" s="90"/>
      <c r="D4" s="90"/>
      <c r="E4" s="90"/>
      <c r="F4" s="90"/>
      <c r="G4" s="90"/>
      <c r="H4" s="90"/>
      <c r="I4" s="90"/>
      <c r="J4" s="90"/>
    </row>
    <row r="5" spans="1:16" ht="11.4" x14ac:dyDescent="0.2">
      <c r="B5" s="1" t="s">
        <v>8</v>
      </c>
      <c r="D5" s="29" t="s">
        <v>9</v>
      </c>
      <c r="F5" s="7"/>
      <c r="G5" s="7"/>
      <c r="H5" s="7"/>
      <c r="I5" s="7"/>
    </row>
    <row r="6" spans="1:16" ht="11.4" x14ac:dyDescent="0.2">
      <c r="D6" s="29"/>
      <c r="F6" s="7"/>
      <c r="G6" s="7"/>
      <c r="H6" s="7"/>
      <c r="I6" s="7"/>
    </row>
    <row r="7" spans="1:16" ht="11.4" x14ac:dyDescent="0.2">
      <c r="B7" s="1" t="s">
        <v>10</v>
      </c>
      <c r="D7" s="66">
        <v>44075</v>
      </c>
      <c r="F7" s="7"/>
      <c r="G7" s="7"/>
      <c r="H7" s="7"/>
      <c r="I7" s="7"/>
    </row>
    <row r="8" spans="1:16" ht="11.4" x14ac:dyDescent="0.2">
      <c r="B8" s="1" t="s">
        <v>11</v>
      </c>
      <c r="D8" s="66">
        <v>44742</v>
      </c>
      <c r="F8" s="7"/>
      <c r="G8" s="7"/>
      <c r="H8" s="7"/>
      <c r="I8" s="7"/>
    </row>
    <row r="9" spans="1:16" ht="11.4" x14ac:dyDescent="0.2">
      <c r="B9" s="1" t="s">
        <v>12</v>
      </c>
      <c r="D9" s="67">
        <f>(D8-D7)/7</f>
        <v>95.285714285714292</v>
      </c>
      <c r="F9" s="7"/>
      <c r="G9" s="7"/>
      <c r="H9" s="7"/>
      <c r="I9" s="7"/>
    </row>
    <row r="10" spans="1:16" ht="11.4" x14ac:dyDescent="0.2">
      <c r="B10" s="1" t="s">
        <v>13</v>
      </c>
      <c r="D10" s="67">
        <v>52</v>
      </c>
      <c r="F10" s="7"/>
      <c r="G10" s="7"/>
      <c r="H10" s="7"/>
      <c r="I10" s="7"/>
    </row>
    <row r="11" spans="1:16" ht="11.4" x14ac:dyDescent="0.2">
      <c r="D11" s="10"/>
      <c r="E11" s="7"/>
      <c r="F11" s="7"/>
      <c r="G11" s="7"/>
      <c r="H11" s="7"/>
      <c r="I11" s="7"/>
    </row>
    <row r="12" spans="1:16" s="8" customFormat="1" ht="11.4" x14ac:dyDescent="0.2">
      <c r="B12" s="89" t="s">
        <v>14</v>
      </c>
      <c r="C12" s="90"/>
      <c r="D12" s="90"/>
      <c r="E12" s="90"/>
      <c r="F12" s="90"/>
      <c r="G12" s="90"/>
      <c r="H12" s="90"/>
      <c r="I12" s="90"/>
      <c r="J12" s="90"/>
    </row>
    <row r="13" spans="1:16" s="8" customFormat="1" ht="11.4" x14ac:dyDescent="0.2">
      <c r="B13" s="89"/>
      <c r="C13" s="90"/>
      <c r="D13" s="90"/>
      <c r="E13" s="89" t="s">
        <v>15</v>
      </c>
      <c r="F13" s="90"/>
      <c r="G13" s="90"/>
      <c r="H13" s="90"/>
      <c r="I13" s="90"/>
      <c r="J13" s="90"/>
    </row>
    <row r="14" spans="1:16" s="16" customFormat="1" ht="13.5" customHeight="1" x14ac:dyDescent="0.2">
      <c r="A14" s="11"/>
      <c r="B14" s="17" t="s">
        <v>16</v>
      </c>
      <c r="C14" s="17"/>
      <c r="D14" s="68"/>
      <c r="E14" s="68">
        <v>15</v>
      </c>
      <c r="F14" s="18"/>
      <c r="G14" s="18"/>
      <c r="H14" s="18"/>
      <c r="I14" s="18"/>
      <c r="J14" s="17"/>
      <c r="K14" s="15"/>
      <c r="L14" s="15"/>
      <c r="M14" s="15"/>
      <c r="N14" s="15"/>
      <c r="O14" s="15"/>
      <c r="P14" s="15"/>
    </row>
    <row r="15" spans="1:16" s="16" customFormat="1" ht="13.5" customHeight="1" x14ac:dyDescent="0.2">
      <c r="A15" s="11"/>
      <c r="B15" s="17" t="s">
        <v>17</v>
      </c>
      <c r="C15" s="17"/>
      <c r="D15" s="11"/>
      <c r="E15" s="212">
        <v>8</v>
      </c>
      <c r="F15" s="18"/>
      <c r="G15" s="18"/>
      <c r="H15" s="18"/>
      <c r="I15" s="18"/>
      <c r="J15" s="17"/>
      <c r="K15" s="15"/>
      <c r="L15" s="15"/>
      <c r="M15" s="15"/>
      <c r="N15" s="15"/>
      <c r="O15" s="15"/>
      <c r="P15" s="15"/>
    </row>
    <row r="16" spans="1:16" s="16" customFormat="1" ht="13.5" customHeight="1" x14ac:dyDescent="0.2">
      <c r="A16" s="11"/>
      <c r="B16" s="12" t="s">
        <v>18</v>
      </c>
      <c r="C16" s="12"/>
      <c r="D16" s="13"/>
      <c r="E16" s="13">
        <v>16</v>
      </c>
      <c r="F16" s="14"/>
      <c r="G16" s="14"/>
      <c r="H16" s="14"/>
      <c r="I16" s="14"/>
      <c r="J16" s="12"/>
      <c r="K16" s="15"/>
      <c r="L16" s="15"/>
      <c r="M16" s="15"/>
      <c r="N16" s="15"/>
      <c r="O16" s="15"/>
      <c r="P16" s="15"/>
    </row>
    <row r="17" spans="1:16" s="16" customFormat="1" ht="13.5" customHeight="1" x14ac:dyDescent="0.2">
      <c r="A17" s="11"/>
      <c r="B17" s="11" t="s">
        <v>19</v>
      </c>
      <c r="C17" s="11"/>
      <c r="D17" s="132"/>
      <c r="E17" s="132">
        <f>AVERAGE(E14:E16)</f>
        <v>13</v>
      </c>
      <c r="F17" s="19"/>
      <c r="G17" s="19"/>
      <c r="H17" s="19"/>
      <c r="I17" s="19"/>
      <c r="J17" s="11"/>
      <c r="K17" s="15"/>
      <c r="L17" s="15"/>
      <c r="M17" s="15"/>
      <c r="N17" s="15"/>
      <c r="O17" s="15"/>
      <c r="P17" s="15"/>
    </row>
    <row r="18" spans="1:16" s="16" customFormat="1" ht="13.5" customHeight="1" x14ac:dyDescent="0.2">
      <c r="A18" s="11"/>
      <c r="B18" s="17"/>
      <c r="C18" s="17"/>
      <c r="D18" s="18"/>
      <c r="E18" s="18"/>
      <c r="F18" s="18"/>
      <c r="G18" s="18"/>
      <c r="H18" s="18"/>
      <c r="I18" s="18"/>
      <c r="J18" s="17"/>
      <c r="K18" s="15"/>
      <c r="L18" s="15"/>
      <c r="M18" s="15"/>
      <c r="N18" s="15"/>
      <c r="O18" s="15"/>
      <c r="P18" s="15"/>
    </row>
    <row r="19" spans="1:16" s="16" customFormat="1" ht="13.5" customHeight="1" x14ac:dyDescent="0.2">
      <c r="A19" s="11"/>
      <c r="B19" s="94" t="s">
        <v>20</v>
      </c>
      <c r="C19" s="95"/>
      <c r="D19" s="96"/>
      <c r="E19" s="96"/>
      <c r="F19" s="96"/>
      <c r="G19" s="96"/>
      <c r="H19" s="96"/>
      <c r="I19" s="96"/>
      <c r="J19" s="95"/>
      <c r="K19" s="15"/>
      <c r="L19" s="15"/>
      <c r="M19" s="15"/>
      <c r="N19" s="15"/>
      <c r="O19" s="15"/>
      <c r="P19" s="15"/>
    </row>
    <row r="20" spans="1:16" s="16" customFormat="1" ht="34.200000000000003" x14ac:dyDescent="0.2">
      <c r="A20" s="11"/>
      <c r="B20" s="70"/>
      <c r="C20" s="70"/>
      <c r="D20" s="76" t="s">
        <v>21</v>
      </c>
      <c r="E20" s="76" t="s">
        <v>22</v>
      </c>
      <c r="F20" s="76" t="s">
        <v>23</v>
      </c>
      <c r="G20" s="77" t="s">
        <v>24</v>
      </c>
      <c r="H20" s="76" t="s">
        <v>25</v>
      </c>
      <c r="I20" s="78" t="s">
        <v>26</v>
      </c>
      <c r="J20" s="76" t="s">
        <v>27</v>
      </c>
      <c r="K20" s="15"/>
      <c r="L20" s="15"/>
      <c r="M20" s="15"/>
      <c r="N20" s="15"/>
      <c r="O20" s="15"/>
      <c r="P20" s="15"/>
    </row>
    <row r="21" spans="1:16" s="16" customFormat="1" ht="11.4" x14ac:dyDescent="0.2">
      <c r="A21" s="11"/>
      <c r="B21" s="17" t="s">
        <v>16</v>
      </c>
      <c r="C21" s="22"/>
      <c r="D21" s="72">
        <v>2</v>
      </c>
      <c r="E21" s="72">
        <v>0</v>
      </c>
      <c r="F21" s="72">
        <v>1</v>
      </c>
      <c r="G21" s="72">
        <v>1</v>
      </c>
      <c r="H21" s="72">
        <v>1</v>
      </c>
      <c r="I21" s="79">
        <v>0</v>
      </c>
      <c r="J21" s="72">
        <f>SUM(D21:I21)</f>
        <v>5</v>
      </c>
    </row>
    <row r="22" spans="1:16" ht="11.4" x14ac:dyDescent="0.2">
      <c r="B22" s="17" t="s">
        <v>17</v>
      </c>
      <c r="C22" s="22"/>
      <c r="D22" s="73">
        <v>1</v>
      </c>
      <c r="E22" s="72">
        <v>1</v>
      </c>
      <c r="F22" s="74">
        <v>1</v>
      </c>
      <c r="G22" s="72">
        <v>0</v>
      </c>
      <c r="H22" s="72">
        <v>0</v>
      </c>
      <c r="I22" s="79">
        <v>1</v>
      </c>
      <c r="J22" s="72">
        <f>SUM(D22:I22)</f>
        <v>4</v>
      </c>
    </row>
    <row r="23" spans="1:16" s="21" customFormat="1" ht="11.4" x14ac:dyDescent="0.2">
      <c r="B23" s="12" t="s">
        <v>18</v>
      </c>
      <c r="C23" s="54"/>
      <c r="D23" s="71">
        <v>2</v>
      </c>
      <c r="E23" s="75">
        <v>0</v>
      </c>
      <c r="F23" s="75">
        <v>1</v>
      </c>
      <c r="G23" s="75">
        <v>1</v>
      </c>
      <c r="H23" s="75">
        <v>0</v>
      </c>
      <c r="I23" s="80">
        <v>1</v>
      </c>
      <c r="J23" s="81">
        <f>SUM(D23:I23)</f>
        <v>5</v>
      </c>
    </row>
    <row r="24" spans="1:16" s="22" customFormat="1" ht="11.4" x14ac:dyDescent="0.2">
      <c r="B24" s="22" t="s">
        <v>28</v>
      </c>
      <c r="D24" s="188">
        <f>AVERAGE(D21:D23)</f>
        <v>1.6666666666666667</v>
      </c>
      <c r="E24" s="188">
        <f t="shared" ref="E24:I24" si="0">AVERAGE(E21:E23)</f>
        <v>0.33333333333333331</v>
      </c>
      <c r="F24" s="188">
        <f t="shared" si="0"/>
        <v>1</v>
      </c>
      <c r="G24" s="188">
        <f t="shared" si="0"/>
        <v>0.66666666666666663</v>
      </c>
      <c r="H24" s="188">
        <f t="shared" si="0"/>
        <v>0.33333333333333331</v>
      </c>
      <c r="I24" s="188">
        <f t="shared" si="0"/>
        <v>0.66666666666666663</v>
      </c>
      <c r="J24" s="194">
        <f>AVERAGE(J21:J23)</f>
        <v>4.666666666666667</v>
      </c>
    </row>
    <row r="25" spans="1:16" s="22" customFormat="1" ht="11.4" x14ac:dyDescent="0.2">
      <c r="D25" s="72"/>
      <c r="E25" s="72"/>
      <c r="F25" s="72"/>
      <c r="G25" s="72"/>
      <c r="H25" s="72"/>
      <c r="I25" s="72"/>
    </row>
    <row r="26" spans="1:16" ht="11.4" x14ac:dyDescent="0.2">
      <c r="D26" s="25"/>
      <c r="E26" s="25"/>
      <c r="F26" s="25"/>
      <c r="G26" s="25"/>
      <c r="H26" s="25"/>
      <c r="I26" s="25"/>
    </row>
    <row r="27" spans="1:16" ht="11.4" x14ac:dyDescent="0.2">
      <c r="D27" s="25"/>
      <c r="E27" s="25"/>
      <c r="F27" s="25"/>
      <c r="G27" s="25"/>
      <c r="H27" s="25"/>
      <c r="I27" s="25"/>
    </row>
    <row r="28" spans="1:16" ht="11.4" x14ac:dyDescent="0.2"/>
    <row r="29" spans="1:16" ht="11.4" x14ac:dyDescent="0.2"/>
    <row r="30" spans="1:16" ht="11.4" x14ac:dyDescent="0.2"/>
    <row r="31" spans="1:16" ht="11.4" hidden="1" x14ac:dyDescent="0.2"/>
    <row r="32" spans="1:16" ht="11.4" hidden="1" x14ac:dyDescent="0.2"/>
    <row r="33" ht="11.4" hidden="1" x14ac:dyDescent="0.2"/>
    <row r="34" ht="11.4" hidden="1" x14ac:dyDescent="0.2"/>
    <row r="35" ht="11.4" hidden="1" x14ac:dyDescent="0.2"/>
    <row r="36" ht="11.4" hidden="1" x14ac:dyDescent="0.2"/>
    <row r="37" ht="11.4" hidden="1" x14ac:dyDescent="0.2"/>
    <row r="38" ht="11.4" hidden="1" x14ac:dyDescent="0.2"/>
    <row r="39" ht="11.4" hidden="1" x14ac:dyDescent="0.2"/>
    <row r="40" ht="11.4" hidden="1" x14ac:dyDescent="0.2"/>
    <row r="41" ht="11.4" hidden="1" x14ac:dyDescent="0.2"/>
    <row r="42" ht="11.4" hidden="1" x14ac:dyDescent="0.2"/>
    <row r="43" ht="11.4" hidden="1" x14ac:dyDescent="0.2"/>
    <row r="44" ht="11.4" hidden="1" x14ac:dyDescent="0.2"/>
    <row r="45" ht="11.4" hidden="1" x14ac:dyDescent="0.2"/>
    <row r="46" ht="11.4" hidden="1" x14ac:dyDescent="0.2"/>
    <row r="47" ht="11.4" hidden="1" x14ac:dyDescent="0.2"/>
    <row r="48" ht="11.4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Normal="100" workbookViewId="0">
      <selection activeCell="B1" sqref="B1"/>
    </sheetView>
  </sheetViews>
  <sheetFormatPr defaultColWidth="0" defaultRowHeight="0" customHeight="1" zeroHeight="1" x14ac:dyDescent="0.2"/>
  <cols>
    <col min="1" max="1" width="2.5546875" style="1" customWidth="1"/>
    <col min="2" max="2" width="51.5546875" style="1" customWidth="1"/>
    <col min="3" max="3" width="11.109375" style="1" customWidth="1"/>
    <col min="4" max="4" width="11.6640625" style="1" bestFit="1" customWidth="1"/>
    <col min="5" max="5" width="10.44140625" style="1" customWidth="1"/>
    <col min="6" max="6" width="57.88671875" style="1" customWidth="1"/>
    <col min="7" max="8" width="11.109375" style="1" customWidth="1"/>
    <col min="9" max="9" width="14.44140625" style="1" customWidth="1"/>
    <col min="10" max="10" width="11.109375" style="1" customWidth="1"/>
    <col min="11" max="13" width="0" style="1" hidden="1" customWidth="1"/>
    <col min="14" max="16384" width="11.109375" style="1" hidden="1"/>
  </cols>
  <sheetData>
    <row r="1" spans="2:11" ht="19.5" customHeight="1" x14ac:dyDescent="0.3">
      <c r="B1" s="2" t="s">
        <v>29</v>
      </c>
      <c r="C1" s="4"/>
      <c r="D1" s="4"/>
      <c r="E1" s="4"/>
      <c r="F1" s="4"/>
      <c r="G1" s="4"/>
      <c r="H1" s="4"/>
      <c r="I1" s="4"/>
    </row>
    <row r="2" spans="2:11" ht="23.25" customHeight="1" x14ac:dyDescent="0.2">
      <c r="B2" s="28" t="s">
        <v>5</v>
      </c>
      <c r="C2" s="4"/>
      <c r="D2" s="4"/>
      <c r="E2" s="4"/>
      <c r="F2" s="4"/>
      <c r="G2" s="4"/>
      <c r="H2" s="6"/>
      <c r="I2" s="6" t="s">
        <v>6</v>
      </c>
      <c r="K2" s="7"/>
    </row>
    <row r="3" spans="2:11" ht="11.4" x14ac:dyDescent="0.2"/>
    <row r="4" spans="2:11" s="8" customFormat="1" ht="11.4" x14ac:dyDescent="0.2">
      <c r="B4" s="89" t="s">
        <v>30</v>
      </c>
      <c r="C4" s="90" t="s">
        <v>31</v>
      </c>
      <c r="D4" s="90"/>
      <c r="E4" s="90"/>
      <c r="F4" s="90" t="s">
        <v>32</v>
      </c>
      <c r="G4" s="90"/>
      <c r="H4" s="90"/>
      <c r="I4" s="90"/>
    </row>
    <row r="5" spans="2:11" s="8" customFormat="1" ht="11.4" x14ac:dyDescent="0.2">
      <c r="B5" s="11" t="s">
        <v>33</v>
      </c>
      <c r="C5" s="49" t="s">
        <v>34</v>
      </c>
      <c r="D5" s="19">
        <v>2022</v>
      </c>
      <c r="E5" s="11"/>
      <c r="F5" s="11"/>
      <c r="G5" s="11"/>
      <c r="H5" s="11"/>
      <c r="I5" s="11"/>
      <c r="J5" s="50"/>
    </row>
    <row r="6" spans="2:11" s="8" customFormat="1" ht="11.4" x14ac:dyDescent="0.2">
      <c r="B6" s="11" t="s">
        <v>35</v>
      </c>
      <c r="C6" s="49" t="s">
        <v>36</v>
      </c>
      <c r="D6" s="82">
        <v>20</v>
      </c>
      <c r="E6" s="11"/>
      <c r="F6" s="49" t="s">
        <v>37</v>
      </c>
      <c r="G6" s="11"/>
      <c r="H6" s="11"/>
      <c r="I6" s="11"/>
      <c r="J6" s="50"/>
    </row>
    <row r="7" spans="2:11" s="8" customFormat="1" ht="11.4" x14ac:dyDescent="0.2">
      <c r="B7" s="11" t="s">
        <v>39</v>
      </c>
      <c r="C7" s="49" t="s">
        <v>38</v>
      </c>
      <c r="D7" s="82">
        <v>1924</v>
      </c>
      <c r="E7" s="82"/>
      <c r="F7" s="49" t="s">
        <v>37</v>
      </c>
      <c r="G7" s="11"/>
      <c r="H7" s="11"/>
      <c r="I7" s="11"/>
      <c r="J7" s="50"/>
    </row>
    <row r="8" spans="2:11" s="8" customFormat="1" ht="57" x14ac:dyDescent="0.2">
      <c r="B8" s="145" t="s">
        <v>40</v>
      </c>
      <c r="C8" s="146" t="s">
        <v>41</v>
      </c>
      <c r="D8" s="147" t="s">
        <v>42</v>
      </c>
      <c r="E8" s="1"/>
      <c r="F8" s="148" t="s">
        <v>43</v>
      </c>
      <c r="G8" s="1"/>
      <c r="H8" s="1"/>
      <c r="I8" s="1"/>
      <c r="J8" s="50"/>
    </row>
    <row r="9" spans="2:11" s="8" customFormat="1" ht="11.4" x14ac:dyDescent="0.2">
      <c r="B9" s="54"/>
      <c r="C9" s="52"/>
      <c r="D9" s="53"/>
      <c r="E9" s="54"/>
      <c r="F9" s="55"/>
      <c r="G9" s="54"/>
      <c r="H9" s="54"/>
      <c r="I9" s="54"/>
      <c r="J9" s="50"/>
    </row>
    <row r="10" spans="2:11" ht="11.4" x14ac:dyDescent="0.2"/>
    <row r="11" spans="2:11" s="8" customFormat="1" ht="11.4" x14ac:dyDescent="0.2">
      <c r="B11" s="89" t="s">
        <v>44</v>
      </c>
      <c r="C11" s="90" t="s">
        <v>31</v>
      </c>
      <c r="D11" s="90"/>
      <c r="E11" s="90"/>
      <c r="F11" s="90" t="s">
        <v>32</v>
      </c>
      <c r="G11" s="90"/>
      <c r="H11" s="90"/>
      <c r="I11" s="90"/>
    </row>
    <row r="12" spans="2:11" s="8" customFormat="1" ht="11.4" x14ac:dyDescent="0.2">
      <c r="B12" s="61" t="s">
        <v>45</v>
      </c>
      <c r="C12" s="49"/>
      <c r="D12" s="60"/>
      <c r="E12" s="11"/>
      <c r="F12" s="49"/>
      <c r="G12" s="11"/>
      <c r="H12" s="11"/>
      <c r="I12" s="11"/>
    </row>
    <row r="13" spans="2:11" s="8" customFormat="1" ht="11.4" x14ac:dyDescent="0.2">
      <c r="B13" s="57" t="s">
        <v>46</v>
      </c>
      <c r="C13" s="58" t="s">
        <v>47</v>
      </c>
      <c r="D13" s="59">
        <v>38906</v>
      </c>
      <c r="E13" s="11"/>
      <c r="F13" s="58" t="s">
        <v>48</v>
      </c>
      <c r="G13" s="49" t="s">
        <v>113</v>
      </c>
      <c r="H13" s="11"/>
      <c r="I13" s="11"/>
    </row>
    <row r="14" spans="2:11" s="8" customFormat="1" ht="11.4" x14ac:dyDescent="0.2">
      <c r="B14" s="57" t="s">
        <v>49</v>
      </c>
      <c r="C14" s="51" t="s">
        <v>50</v>
      </c>
      <c r="D14" s="59">
        <f>(D13*12)/D7</f>
        <v>242.65696465696465</v>
      </c>
      <c r="E14" s="11"/>
      <c r="F14" s="51"/>
      <c r="G14" s="11"/>
      <c r="H14" s="11"/>
      <c r="I14" s="11"/>
    </row>
    <row r="15" spans="2:11" s="8" customFormat="1" ht="11.4" x14ac:dyDescent="0.2">
      <c r="B15" s="57" t="s">
        <v>51</v>
      </c>
      <c r="C15" s="49" t="s">
        <v>50</v>
      </c>
      <c r="D15" s="60">
        <f>D14*(1+($D$6/100))</f>
        <v>291.18835758835758</v>
      </c>
      <c r="E15" s="11"/>
      <c r="F15" s="49"/>
      <c r="G15" s="11"/>
      <c r="H15" s="11"/>
      <c r="I15" s="11"/>
    </row>
    <row r="16" spans="2:11" s="8" customFormat="1" ht="11.4" x14ac:dyDescent="0.2">
      <c r="B16" s="61" t="s">
        <v>52</v>
      </c>
      <c r="C16" s="49"/>
      <c r="D16" s="60"/>
      <c r="E16" s="11"/>
      <c r="F16" s="49"/>
      <c r="G16" s="11"/>
      <c r="H16" s="11"/>
      <c r="I16" s="11"/>
    </row>
    <row r="17" spans="2:9" s="8" customFormat="1" ht="11.4" x14ac:dyDescent="0.2">
      <c r="B17" s="57" t="s">
        <v>46</v>
      </c>
      <c r="C17" s="58" t="s">
        <v>47</v>
      </c>
      <c r="D17" s="59">
        <v>40580</v>
      </c>
      <c r="E17" s="11"/>
      <c r="F17" s="58" t="s">
        <v>48</v>
      </c>
      <c r="G17" s="58" t="s">
        <v>115</v>
      </c>
      <c r="H17" s="11"/>
      <c r="I17" s="11"/>
    </row>
    <row r="18" spans="2:9" s="8" customFormat="1" ht="11.4" x14ac:dyDescent="0.2">
      <c r="B18" s="57" t="s">
        <v>49</v>
      </c>
      <c r="C18" s="51" t="s">
        <v>50</v>
      </c>
      <c r="D18" s="59">
        <f>(D17*12)/D7</f>
        <v>253.0977130977131</v>
      </c>
      <c r="E18" s="11"/>
      <c r="F18" s="51"/>
      <c r="G18" s="11"/>
      <c r="H18" s="11"/>
      <c r="I18" s="11"/>
    </row>
    <row r="19" spans="2:9" s="8" customFormat="1" ht="11.4" x14ac:dyDescent="0.2">
      <c r="B19" s="57" t="s">
        <v>51</v>
      </c>
      <c r="C19" s="49" t="s">
        <v>50</v>
      </c>
      <c r="D19" s="60">
        <f>D18*(1+($D$6/100))</f>
        <v>303.71725571725568</v>
      </c>
      <c r="E19" s="11"/>
      <c r="F19" s="49"/>
      <c r="G19" s="11"/>
      <c r="H19" s="11"/>
      <c r="I19" s="11"/>
    </row>
    <row r="20" spans="2:9" s="8" customFormat="1" ht="11.4" x14ac:dyDescent="0.2">
      <c r="B20" s="61" t="s">
        <v>53</v>
      </c>
      <c r="C20" s="49"/>
      <c r="D20" s="60"/>
      <c r="E20" s="11"/>
      <c r="F20" s="49"/>
      <c r="G20" s="11"/>
      <c r="H20" s="11"/>
      <c r="I20" s="11"/>
    </row>
    <row r="21" spans="2:9" s="8" customFormat="1" ht="11.4" x14ac:dyDescent="0.2">
      <c r="B21" s="57" t="s">
        <v>46</v>
      </c>
      <c r="C21" s="58" t="s">
        <v>47</v>
      </c>
      <c r="D21" s="59">
        <v>39925</v>
      </c>
      <c r="E21" s="11"/>
      <c r="F21" s="58" t="s">
        <v>48</v>
      </c>
      <c r="G21" s="199" t="s">
        <v>116</v>
      </c>
      <c r="H21" s="11"/>
      <c r="I21" s="11"/>
    </row>
    <row r="22" spans="2:9" s="8" customFormat="1" ht="11.4" x14ac:dyDescent="0.2">
      <c r="B22" s="57" t="s">
        <v>49</v>
      </c>
      <c r="C22" s="51" t="s">
        <v>50</v>
      </c>
      <c r="D22" s="59">
        <f>(D21*12)/D7</f>
        <v>249.012474012474</v>
      </c>
      <c r="E22" s="11"/>
      <c r="F22" s="51"/>
      <c r="G22" s="11"/>
      <c r="H22" s="11"/>
      <c r="I22" s="11"/>
    </row>
    <row r="23" spans="2:9" s="8" customFormat="1" ht="11.4" x14ac:dyDescent="0.2">
      <c r="B23" s="57" t="s">
        <v>51</v>
      </c>
      <c r="C23" s="49" t="s">
        <v>50</v>
      </c>
      <c r="D23" s="60">
        <f>D22*(1+($D$6/100))</f>
        <v>298.81496881496878</v>
      </c>
      <c r="E23" s="11"/>
      <c r="F23" s="49"/>
      <c r="G23" s="11"/>
      <c r="H23" s="11"/>
      <c r="I23" s="11"/>
    </row>
    <row r="24" spans="2:9" s="8" customFormat="1" ht="11.4" x14ac:dyDescent="0.2">
      <c r="B24" s="56" t="s">
        <v>54</v>
      </c>
      <c r="C24" s="49"/>
      <c r="D24" s="60"/>
      <c r="E24" s="11"/>
      <c r="F24" s="49"/>
      <c r="G24" s="11"/>
      <c r="H24" s="16"/>
      <c r="I24" s="16"/>
    </row>
    <row r="25" spans="2:9" s="8" customFormat="1" ht="11.4" x14ac:dyDescent="0.2">
      <c r="B25" s="57" t="s">
        <v>46</v>
      </c>
      <c r="C25" s="58" t="s">
        <v>47</v>
      </c>
      <c r="D25" s="59">
        <v>41390</v>
      </c>
      <c r="E25" s="16"/>
      <c r="F25" s="58" t="s">
        <v>48</v>
      </c>
      <c r="G25" s="58" t="s">
        <v>117</v>
      </c>
      <c r="H25" s="1"/>
      <c r="I25" s="1"/>
    </row>
    <row r="26" spans="2:9" s="8" customFormat="1" ht="13.8" x14ac:dyDescent="0.25">
      <c r="B26" s="57" t="s">
        <v>49</v>
      </c>
      <c r="C26" s="51" t="s">
        <v>50</v>
      </c>
      <c r="D26" s="59">
        <f>(D25*12)/D7</f>
        <v>258.14968814968813</v>
      </c>
      <c r="E26" s="1"/>
      <c r="F26" s="9"/>
      <c r="G26" s="1"/>
      <c r="H26" s="1"/>
      <c r="I26" s="1"/>
    </row>
    <row r="27" spans="2:9" s="8" customFormat="1" ht="11.4" x14ac:dyDescent="0.2">
      <c r="B27" s="57" t="s">
        <v>51</v>
      </c>
      <c r="C27" s="49" t="s">
        <v>50</v>
      </c>
      <c r="D27" s="60">
        <f>D26*(1+($D$6/100))</f>
        <v>309.77962577962575</v>
      </c>
      <c r="E27" s="26"/>
      <c r="F27" s="26"/>
      <c r="G27" s="1"/>
      <c r="H27" s="11"/>
      <c r="I27" s="11"/>
    </row>
    <row r="28" spans="2:9" s="8" customFormat="1" ht="11.4" x14ac:dyDescent="0.2">
      <c r="B28" s="61" t="s">
        <v>55</v>
      </c>
      <c r="C28" s="49"/>
      <c r="D28" s="60"/>
      <c r="E28" s="11"/>
      <c r="F28" s="49"/>
      <c r="G28" s="11"/>
      <c r="H28" s="11"/>
      <c r="I28" s="11"/>
    </row>
    <row r="29" spans="2:9" ht="11.4" x14ac:dyDescent="0.2">
      <c r="B29" s="57" t="s">
        <v>46</v>
      </c>
      <c r="C29" s="58" t="s">
        <v>47</v>
      </c>
      <c r="D29" s="59">
        <v>33454</v>
      </c>
      <c r="E29" s="11"/>
      <c r="F29" s="58" t="s">
        <v>48</v>
      </c>
      <c r="G29" s="49" t="s">
        <v>118</v>
      </c>
      <c r="H29" s="11"/>
      <c r="I29" s="11"/>
    </row>
    <row r="30" spans="2:9" ht="11.4" x14ac:dyDescent="0.2">
      <c r="B30" s="57" t="s">
        <v>49</v>
      </c>
      <c r="C30" s="51" t="s">
        <v>50</v>
      </c>
      <c r="D30" s="59">
        <f>(D29*12)/D7</f>
        <v>208.65280665280665</v>
      </c>
      <c r="E30" s="11"/>
      <c r="F30" s="51"/>
      <c r="G30" s="11"/>
      <c r="H30" s="11"/>
      <c r="I30" s="11"/>
    </row>
    <row r="31" spans="2:9" ht="11.4" x14ac:dyDescent="0.2">
      <c r="B31" s="57" t="s">
        <v>51</v>
      </c>
      <c r="C31" s="49" t="s">
        <v>50</v>
      </c>
      <c r="D31" s="60">
        <f>D30*(1+($D$6/100))</f>
        <v>250.38336798336798</v>
      </c>
      <c r="E31" s="11"/>
      <c r="F31" s="49"/>
      <c r="G31" s="11"/>
      <c r="H31" s="11"/>
      <c r="I31" s="11"/>
    </row>
    <row r="32" spans="2:9" ht="11.4" x14ac:dyDescent="0.2">
      <c r="B32" s="56"/>
      <c r="C32" s="11"/>
      <c r="D32" s="11"/>
      <c r="E32" s="11"/>
      <c r="F32" s="11"/>
      <c r="G32" s="11"/>
      <c r="H32" s="11"/>
      <c r="I32" s="11"/>
    </row>
    <row r="33" spans="1:9" ht="11.4" x14ac:dyDescent="0.2">
      <c r="B33" s="57"/>
      <c r="C33" s="58"/>
      <c r="D33" s="83"/>
      <c r="E33" s="11"/>
      <c r="F33" s="58"/>
      <c r="G33" s="11"/>
      <c r="H33" s="11"/>
      <c r="I33" s="11"/>
    </row>
    <row r="34" spans="1:9" ht="11.4" x14ac:dyDescent="0.2">
      <c r="B34" s="57"/>
      <c r="C34" s="51"/>
      <c r="D34" s="59"/>
      <c r="E34" s="11"/>
      <c r="F34" s="51"/>
      <c r="G34" s="11"/>
      <c r="H34" s="11"/>
      <c r="I34" s="11"/>
    </row>
    <row r="35" spans="1:9" ht="11.4" x14ac:dyDescent="0.2">
      <c r="B35" s="57"/>
      <c r="C35" s="49"/>
      <c r="D35" s="60"/>
      <c r="E35" s="11"/>
      <c r="F35" s="49"/>
      <c r="G35" s="11"/>
    </row>
    <row r="36" spans="1:9" ht="11.4" x14ac:dyDescent="0.2">
      <c r="B36" s="57"/>
      <c r="C36" s="49"/>
      <c r="D36" s="60"/>
      <c r="E36" s="26"/>
      <c r="F36" s="26"/>
    </row>
    <row r="37" spans="1:9" ht="13.8" x14ac:dyDescent="0.25">
      <c r="B37" s="9"/>
      <c r="C37" s="51"/>
      <c r="D37" s="62"/>
      <c r="E37" s="26"/>
      <c r="F37" s="26"/>
    </row>
    <row r="38" spans="1:9" s="54" customFormat="1" ht="11.4" x14ac:dyDescent="0.2">
      <c r="A38" s="1"/>
      <c r="B38" s="63" t="s">
        <v>114</v>
      </c>
      <c r="C38" s="52"/>
    </row>
    <row r="39" spans="1:9" ht="11.4" x14ac:dyDescent="0.2"/>
    <row r="40" spans="1:9" ht="11.4" x14ac:dyDescent="0.2">
      <c r="B40" s="64"/>
      <c r="C40" s="65"/>
    </row>
    <row r="41" spans="1:9" ht="11.4" x14ac:dyDescent="0.2">
      <c r="B41" s="26"/>
    </row>
    <row r="42" spans="1:9" ht="11.4" x14ac:dyDescent="0.2"/>
    <row r="43" spans="1:9" ht="11.4" x14ac:dyDescent="0.2"/>
    <row r="44" spans="1:9" ht="11.4" x14ac:dyDescent="0.2"/>
    <row r="45" spans="1:9" ht="11.4" x14ac:dyDescent="0.2"/>
    <row r="46" spans="1:9" ht="11.4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activeCell="F31" sqref="F31"/>
    </sheetView>
  </sheetViews>
  <sheetFormatPr defaultColWidth="0" defaultRowHeight="0" customHeight="1" zeroHeight="1" x14ac:dyDescent="0.2"/>
  <cols>
    <col min="1" max="1" width="2.5546875" style="84" customWidth="1"/>
    <col min="2" max="2" width="47.88671875" style="1" customWidth="1"/>
    <col min="3" max="3" width="7.6640625" style="1" customWidth="1"/>
    <col min="4" max="7" width="20.109375" style="1" customWidth="1"/>
    <col min="8" max="10" width="11.109375" style="1" customWidth="1"/>
    <col min="11" max="12" width="0" style="1" hidden="1" customWidth="1"/>
    <col min="13" max="16384" width="11.109375" style="1" hidden="1"/>
  </cols>
  <sheetData>
    <row r="1" spans="1:9" ht="19.5" customHeight="1" x14ac:dyDescent="0.3">
      <c r="B1" s="2" t="s">
        <v>57</v>
      </c>
      <c r="C1" s="4"/>
      <c r="D1" s="4"/>
      <c r="E1" s="4"/>
      <c r="F1" s="4"/>
      <c r="G1" s="4"/>
      <c r="H1" s="4"/>
      <c r="I1" s="4"/>
    </row>
    <row r="2" spans="1:9" ht="23.25" customHeight="1" x14ac:dyDescent="0.2">
      <c r="B2" s="28" t="s">
        <v>5</v>
      </c>
      <c r="C2" s="4"/>
      <c r="D2" s="4"/>
      <c r="E2" s="4"/>
      <c r="F2" s="4"/>
      <c r="G2" s="4"/>
      <c r="H2" s="6" t="s">
        <v>6</v>
      </c>
      <c r="I2" s="6"/>
    </row>
    <row r="3" spans="1:9" ht="11.4" x14ac:dyDescent="0.2"/>
    <row r="4" spans="1:9" s="8" customFormat="1" ht="11.4" x14ac:dyDescent="0.2">
      <c r="A4" s="50"/>
      <c r="B4" s="89" t="s">
        <v>58</v>
      </c>
      <c r="C4" s="90"/>
      <c r="D4" s="90"/>
      <c r="E4" s="90"/>
      <c r="F4" s="90"/>
      <c r="G4" s="90"/>
      <c r="H4" s="90"/>
      <c r="I4" s="90"/>
    </row>
    <row r="5" spans="1:9" ht="11.4" x14ac:dyDescent="0.2">
      <c r="D5" s="26"/>
      <c r="G5" s="183"/>
    </row>
    <row r="6" spans="1:9" s="8" customFormat="1" ht="11.4" x14ac:dyDescent="0.2">
      <c r="A6" s="50"/>
      <c r="B6" s="97" t="s">
        <v>61</v>
      </c>
      <c r="C6" s="98"/>
      <c r="D6" s="99" t="s">
        <v>125</v>
      </c>
      <c r="E6" s="99" t="s">
        <v>127</v>
      </c>
      <c r="F6" s="99" t="s">
        <v>126</v>
      </c>
      <c r="G6" s="181" t="s">
        <v>111</v>
      </c>
      <c r="H6" s="100"/>
      <c r="I6" s="100"/>
    </row>
    <row r="7" spans="1:9" ht="11.4" x14ac:dyDescent="0.2">
      <c r="B7" s="61" t="s">
        <v>45</v>
      </c>
      <c r="C7" s="51"/>
      <c r="D7" s="20"/>
      <c r="E7" s="25"/>
      <c r="F7" s="25"/>
      <c r="G7" s="182"/>
      <c r="H7" s="25"/>
      <c r="I7" s="25"/>
    </row>
    <row r="8" spans="1:9" ht="11.4" x14ac:dyDescent="0.2">
      <c r="B8" s="86" t="s">
        <v>59</v>
      </c>
      <c r="C8" s="51" t="s">
        <v>60</v>
      </c>
      <c r="D8" s="20">
        <f>2*21</f>
        <v>42</v>
      </c>
      <c r="E8" s="25">
        <v>18.5</v>
      </c>
      <c r="F8" s="25">
        <f>2*37</f>
        <v>74</v>
      </c>
      <c r="G8" s="184">
        <f>AVERAGE(D8:F8)</f>
        <v>44.833333333333336</v>
      </c>
      <c r="H8" s="67"/>
      <c r="I8" s="29"/>
    </row>
    <row r="9" spans="1:9" ht="11.4" x14ac:dyDescent="0.2">
      <c r="B9" s="61" t="s">
        <v>52</v>
      </c>
      <c r="C9" s="51"/>
      <c r="D9" s="20"/>
      <c r="E9" s="25"/>
      <c r="F9" s="25"/>
      <c r="G9" s="184"/>
      <c r="H9" s="67"/>
      <c r="I9" s="29"/>
    </row>
    <row r="10" spans="1:9" ht="11.4" x14ac:dyDescent="0.2">
      <c r="B10" s="86" t="s">
        <v>59</v>
      </c>
      <c r="C10" s="51" t="s">
        <v>60</v>
      </c>
      <c r="D10" s="20">
        <v>0</v>
      </c>
      <c r="E10" s="20">
        <v>18.5</v>
      </c>
      <c r="F10" s="25">
        <v>0</v>
      </c>
      <c r="G10" s="184">
        <f t="shared" ref="G10:G18" si="0">AVERAGE(D10:F10)</f>
        <v>6.166666666666667</v>
      </c>
      <c r="H10" s="67"/>
      <c r="I10" s="29"/>
    </row>
    <row r="11" spans="1:9" ht="11.4" x14ac:dyDescent="0.2">
      <c r="B11" s="61" t="s">
        <v>53</v>
      </c>
      <c r="C11" s="51"/>
      <c r="D11" s="20"/>
      <c r="E11" s="25"/>
      <c r="F11" s="25"/>
      <c r="G11" s="184"/>
      <c r="H11" s="67"/>
      <c r="I11" s="29"/>
    </row>
    <row r="12" spans="1:9" ht="11.4" x14ac:dyDescent="0.2">
      <c r="B12" s="86" t="s">
        <v>59</v>
      </c>
      <c r="C12" s="51" t="s">
        <v>60</v>
      </c>
      <c r="D12" s="20">
        <v>15</v>
      </c>
      <c r="E12" s="20">
        <v>0</v>
      </c>
      <c r="F12" s="20">
        <f>37/2</f>
        <v>18.5</v>
      </c>
      <c r="G12" s="184">
        <f t="shared" si="0"/>
        <v>11.166666666666666</v>
      </c>
      <c r="H12" s="67"/>
      <c r="I12" s="29"/>
    </row>
    <row r="13" spans="1:9" ht="11.4" x14ac:dyDescent="0.2">
      <c r="B13" s="56" t="s">
        <v>54</v>
      </c>
      <c r="C13" s="51"/>
      <c r="D13" s="20"/>
      <c r="E13" s="25"/>
      <c r="F13" s="25"/>
      <c r="G13" s="184"/>
      <c r="H13" s="197"/>
      <c r="I13" s="10"/>
    </row>
    <row r="14" spans="1:9" ht="11.4" x14ac:dyDescent="0.2">
      <c r="B14" s="86" t="s">
        <v>59</v>
      </c>
      <c r="C14" s="51" t="s">
        <v>60</v>
      </c>
      <c r="D14" s="20">
        <v>2</v>
      </c>
      <c r="E14" s="25">
        <v>10</v>
      </c>
      <c r="F14" s="20">
        <f>37/2</f>
        <v>18.5</v>
      </c>
      <c r="G14" s="184">
        <f t="shared" si="0"/>
        <v>10.166666666666666</v>
      </c>
      <c r="H14" s="67"/>
      <c r="I14" s="29"/>
    </row>
    <row r="15" spans="1:9" ht="11.4" x14ac:dyDescent="0.2">
      <c r="B15" s="61" t="s">
        <v>55</v>
      </c>
      <c r="C15" s="51"/>
      <c r="D15" s="20"/>
      <c r="E15" s="25"/>
      <c r="F15" s="25"/>
      <c r="G15" s="184"/>
      <c r="H15" s="67"/>
      <c r="I15" s="10"/>
    </row>
    <row r="16" spans="1:9" ht="11.4" x14ac:dyDescent="0.2">
      <c r="B16" s="86" t="s">
        <v>59</v>
      </c>
      <c r="C16" s="51" t="s">
        <v>60</v>
      </c>
      <c r="D16" s="20">
        <v>21</v>
      </c>
      <c r="E16" s="25">
        <v>0</v>
      </c>
      <c r="F16" s="25">
        <v>0</v>
      </c>
      <c r="G16" s="184">
        <f t="shared" si="0"/>
        <v>7</v>
      </c>
      <c r="H16" s="67"/>
      <c r="I16" s="10"/>
    </row>
    <row r="17" spans="1:9" ht="11.4" x14ac:dyDescent="0.2">
      <c r="B17" s="56" t="s">
        <v>56</v>
      </c>
      <c r="C17" s="51"/>
      <c r="D17" s="20"/>
      <c r="E17" s="25"/>
      <c r="F17" s="25"/>
      <c r="G17" s="184"/>
      <c r="H17" s="25"/>
      <c r="I17" s="29"/>
    </row>
    <row r="18" spans="1:9" ht="11.4" x14ac:dyDescent="0.2">
      <c r="B18" s="87" t="s">
        <v>59</v>
      </c>
      <c r="C18" s="52" t="s">
        <v>60</v>
      </c>
      <c r="D18" s="53">
        <v>0</v>
      </c>
      <c r="E18" s="85">
        <v>15</v>
      </c>
      <c r="F18" s="101">
        <f>37/3*1</f>
        <v>12.333333333333334</v>
      </c>
      <c r="G18" s="185">
        <f t="shared" si="0"/>
        <v>9.1111111111111125</v>
      </c>
      <c r="H18" s="198"/>
      <c r="I18" s="195"/>
    </row>
    <row r="19" spans="1:9" ht="11.4" x14ac:dyDescent="0.2">
      <c r="B19" s="189" t="s">
        <v>112</v>
      </c>
      <c r="C19" s="51" t="s">
        <v>60</v>
      </c>
      <c r="D19" s="190">
        <f>SUM(D8:D18)</f>
        <v>80</v>
      </c>
      <c r="E19" s="190">
        <f t="shared" ref="E19:G19" si="1">SUM(E8:E18)</f>
        <v>62</v>
      </c>
      <c r="F19" s="192">
        <f t="shared" si="1"/>
        <v>123.33333333333333</v>
      </c>
      <c r="G19" s="193">
        <f t="shared" si="1"/>
        <v>88.444444444444443</v>
      </c>
      <c r="H19" s="191"/>
      <c r="I19" s="196"/>
    </row>
    <row r="20" spans="1:9" ht="11.4" x14ac:dyDescent="0.2">
      <c r="B20" s="86" t="s">
        <v>122</v>
      </c>
      <c r="C20" s="51" t="s">
        <v>60</v>
      </c>
      <c r="D20" s="209">
        <f>D19-7.5</f>
        <v>72.5</v>
      </c>
      <c r="E20" s="1">
        <f>E19-E18</f>
        <v>47</v>
      </c>
      <c r="F20" s="209">
        <f>F19-F18</f>
        <v>111</v>
      </c>
      <c r="G20" s="210">
        <f>AVERAGE(D20:F20)</f>
        <v>76.833333333333329</v>
      </c>
      <c r="I20" s="29"/>
    </row>
    <row r="21" spans="1:9" ht="11.4" x14ac:dyDescent="0.2">
      <c r="G21" s="183"/>
      <c r="I21" s="29"/>
    </row>
    <row r="22" spans="1:9" s="8" customFormat="1" ht="11.4" x14ac:dyDescent="0.2">
      <c r="A22" s="50"/>
      <c r="B22" s="97" t="s">
        <v>62</v>
      </c>
      <c r="C22" s="98"/>
      <c r="D22" s="99" t="s">
        <v>16</v>
      </c>
      <c r="E22" s="99" t="s">
        <v>17</v>
      </c>
      <c r="F22" s="99" t="s">
        <v>18</v>
      </c>
      <c r="G22" s="98"/>
      <c r="H22" s="100"/>
      <c r="I22" s="100"/>
    </row>
    <row r="23" spans="1:9" ht="11.4" x14ac:dyDescent="0.2">
      <c r="B23" s="29" t="s">
        <v>63</v>
      </c>
      <c r="C23" s="51" t="s">
        <v>64</v>
      </c>
      <c r="D23" s="102" t="s">
        <v>42</v>
      </c>
      <c r="E23" s="102" t="s">
        <v>42</v>
      </c>
      <c r="F23" s="102" t="s">
        <v>42</v>
      </c>
      <c r="G23" s="186"/>
      <c r="H23" s="30"/>
      <c r="I23" s="30"/>
    </row>
    <row r="24" spans="1:9" ht="11.4" x14ac:dyDescent="0.2">
      <c r="B24" s="29" t="s">
        <v>65</v>
      </c>
      <c r="C24" s="51" t="s">
        <v>64</v>
      </c>
      <c r="D24" s="30" t="s">
        <v>42</v>
      </c>
      <c r="E24" s="30" t="s">
        <v>42</v>
      </c>
      <c r="F24" s="104">
        <v>32000</v>
      </c>
      <c r="G24" s="186"/>
      <c r="H24" s="30"/>
      <c r="I24" s="30"/>
    </row>
    <row r="25" spans="1:9" ht="11.4" x14ac:dyDescent="0.2">
      <c r="B25" s="88" t="s">
        <v>66</v>
      </c>
      <c r="C25" s="52" t="s">
        <v>64</v>
      </c>
      <c r="D25" s="69" t="s">
        <v>42</v>
      </c>
      <c r="E25" s="103" t="s">
        <v>42</v>
      </c>
      <c r="F25" s="69" t="s">
        <v>42</v>
      </c>
      <c r="G25" s="187"/>
      <c r="H25" s="69"/>
      <c r="I25" s="69"/>
    </row>
    <row r="26" spans="1:9" ht="11.4" x14ac:dyDescent="0.2"/>
    <row r="27" spans="1:9" ht="11.4" x14ac:dyDescent="0.2">
      <c r="B27" s="93"/>
      <c r="C27" s="91"/>
      <c r="D27" s="92"/>
      <c r="E27" s="92"/>
      <c r="F27" s="92"/>
      <c r="G27" s="92"/>
      <c r="H27" s="92"/>
      <c r="I27" s="92"/>
    </row>
    <row r="28" spans="1:9" ht="11.4" x14ac:dyDescent="0.2"/>
    <row r="29" spans="1:9" ht="11.4" x14ac:dyDescent="0.2"/>
    <row r="30" spans="1:9" ht="11.4" x14ac:dyDescent="0.2">
      <c r="F30" s="209"/>
      <c r="G30" s="209"/>
    </row>
    <row r="31" spans="1:9" ht="11.4" x14ac:dyDescent="0.2">
      <c r="D31" s="209"/>
      <c r="F31" s="209"/>
      <c r="G31" s="209"/>
    </row>
    <row r="32" spans="1:9" ht="11.4" x14ac:dyDescent="0.2"/>
    <row r="33" spans="4:7" ht="11.4" x14ac:dyDescent="0.2">
      <c r="D33" s="211"/>
      <c r="E33" s="211"/>
      <c r="F33" s="211"/>
      <c r="G33" s="211"/>
    </row>
    <row r="34" spans="4:7" ht="11.4" x14ac:dyDescent="0.2">
      <c r="D34" s="209"/>
      <c r="E34" s="209"/>
      <c r="F34" s="209"/>
      <c r="G34" s="209"/>
    </row>
    <row r="35" spans="4:7" ht="11.4" x14ac:dyDescent="0.2"/>
    <row r="38" spans="4:7" ht="0" hidden="1" customHeight="1" x14ac:dyDescent="0.2"/>
    <row r="39" spans="4:7" ht="0" hidden="1" customHeight="1" x14ac:dyDescent="0.2"/>
    <row r="40" spans="4:7" ht="0" hidden="1" customHeight="1" x14ac:dyDescent="0.2"/>
    <row r="41" spans="4:7" ht="0" hidden="1" customHeight="1" x14ac:dyDescent="0.2"/>
    <row r="42" spans="4:7" ht="0" hidden="1" customHeight="1" x14ac:dyDescent="0.2"/>
    <row r="43" spans="4:7" ht="0" hidden="1" customHeight="1" x14ac:dyDescent="0.2"/>
    <row r="44" spans="4:7" ht="0" hidden="1" customHeight="1" x14ac:dyDescent="0.2"/>
    <row r="45" spans="4:7" ht="0" hidden="1" customHeight="1" x14ac:dyDescent="0.2"/>
    <row r="46" spans="4:7" ht="0" hidden="1" customHeight="1" x14ac:dyDescent="0.2"/>
    <row r="47" spans="4:7" ht="0" hidden="1" customHeight="1" x14ac:dyDescent="0.2"/>
    <row r="48" spans="4:7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  <row r="53" ht="0" hidden="1" customHeight="1" x14ac:dyDescent="0.2"/>
    <row r="54" ht="0" hidden="1" customHeight="1" x14ac:dyDescent="0.2"/>
    <row r="55" ht="0" hidden="1" customHeight="1" x14ac:dyDescent="0.2"/>
    <row r="56" ht="0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GridLines="0" zoomScaleNormal="100" workbookViewId="0">
      <selection activeCell="J2" sqref="J2"/>
    </sheetView>
  </sheetViews>
  <sheetFormatPr defaultColWidth="0" defaultRowHeight="0" customHeight="1" zeroHeight="1" x14ac:dyDescent="0.2"/>
  <cols>
    <col min="1" max="1" width="2.5546875" style="22" customWidth="1"/>
    <col min="2" max="2" width="27.5546875" style="22" customWidth="1"/>
    <col min="3" max="3" width="11.88671875" style="22" customWidth="1"/>
    <col min="4" max="4" width="18.6640625" style="22" customWidth="1"/>
    <col min="5" max="5" width="16" style="22" customWidth="1"/>
    <col min="6" max="6" width="13.88671875" style="22" customWidth="1"/>
    <col min="7" max="8" width="17.6640625" style="22" customWidth="1"/>
    <col min="9" max="9" width="17.88671875" style="22" customWidth="1"/>
    <col min="10" max="10" width="13" style="22" customWidth="1"/>
    <col min="11" max="11" width="13.109375" style="22" customWidth="1"/>
    <col min="12" max="12" width="19.5546875" style="22" customWidth="1"/>
    <col min="13" max="13" width="11.109375" style="22" hidden="1" customWidth="1"/>
    <col min="14" max="22" width="0" style="22" hidden="1" customWidth="1"/>
    <col min="23" max="16384" width="0" style="22" hidden="1"/>
  </cols>
  <sheetData>
    <row r="1" spans="1:22" ht="19.5" customHeight="1" x14ac:dyDescent="0.3">
      <c r="B1" s="105" t="s">
        <v>67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1:22" ht="23.25" customHeight="1" x14ac:dyDescent="0.2">
      <c r="B2" s="28" t="s">
        <v>5</v>
      </c>
      <c r="C2" s="106"/>
      <c r="D2" s="106"/>
      <c r="E2" s="106"/>
      <c r="F2" s="106"/>
      <c r="G2" s="106"/>
      <c r="H2" s="106"/>
      <c r="I2" s="106"/>
      <c r="J2" s="6" t="s">
        <v>6</v>
      </c>
      <c r="K2" s="106"/>
    </row>
    <row r="3" spans="1:22" s="109" customFormat="1" ht="11.4" x14ac:dyDescent="0.2">
      <c r="A3" s="135"/>
      <c r="B3" s="135"/>
      <c r="C3" s="136"/>
      <c r="D3" s="134"/>
      <c r="E3" s="134"/>
      <c r="F3" s="135"/>
      <c r="G3" s="134"/>
      <c r="H3" s="134"/>
      <c r="I3" s="134"/>
      <c r="J3" s="134"/>
      <c r="K3" s="134"/>
      <c r="L3" s="134"/>
      <c r="M3" s="119"/>
    </row>
    <row r="4" spans="1:22" s="109" customFormat="1" ht="11.4" x14ac:dyDescent="0.2">
      <c r="A4" s="135"/>
      <c r="B4" s="94" t="s">
        <v>68</v>
      </c>
      <c r="C4" s="131"/>
      <c r="D4" s="131"/>
      <c r="E4" s="131"/>
      <c r="F4" s="94"/>
      <c r="G4" s="94"/>
      <c r="H4" s="94"/>
      <c r="I4" s="94"/>
      <c r="J4" s="94"/>
      <c r="K4" s="94"/>
      <c r="L4" s="134"/>
      <c r="M4" s="119"/>
    </row>
    <row r="5" spans="1:22" ht="13.8" x14ac:dyDescent="0.25">
      <c r="B5" s="110" t="s">
        <v>69</v>
      </c>
      <c r="C5" s="140" t="s">
        <v>31</v>
      </c>
      <c r="D5" s="141" t="s">
        <v>70</v>
      </c>
      <c r="E5" s="217" t="s">
        <v>123</v>
      </c>
      <c r="F5" s="133" t="s">
        <v>71</v>
      </c>
      <c r="G5" s="139" t="s">
        <v>125</v>
      </c>
      <c r="H5" s="139" t="s">
        <v>127</v>
      </c>
      <c r="I5" s="139" t="s">
        <v>126</v>
      </c>
      <c r="J5" s="111"/>
      <c r="K5" s="111"/>
      <c r="L5" s="112"/>
      <c r="M5" s="23"/>
      <c r="N5" s="113"/>
      <c r="O5" s="113"/>
      <c r="P5" s="113"/>
      <c r="Q5" s="113"/>
      <c r="R5" s="113"/>
      <c r="S5" s="113"/>
      <c r="T5" s="114"/>
      <c r="U5" s="114"/>
      <c r="V5" s="23"/>
    </row>
    <row r="6" spans="1:22" s="109" customFormat="1" ht="11.4" x14ac:dyDescent="0.2">
      <c r="A6" s="135"/>
      <c r="B6" s="29" t="s">
        <v>45</v>
      </c>
      <c r="C6" s="115" t="s">
        <v>72</v>
      </c>
      <c r="D6" s="142">
        <f>AVERAGE(G6:I6)</f>
        <v>678857.12432432431</v>
      </c>
      <c r="E6" s="133"/>
      <c r="F6" s="143">
        <f t="shared" ref="F6:F11" si="0">D6/$D$15</f>
        <v>0.5002966173847877</v>
      </c>
      <c r="G6" s="138">
        <f>Input!D8*'Generelle antagelser'!$D$15*Indsatsen!$D$10</f>
        <v>635955.37297297292</v>
      </c>
      <c r="H6" s="138">
        <f>Input!E8*'Generelle antagelser'!$D$15*Indsatsen!$D$10</f>
        <v>280123.2</v>
      </c>
      <c r="I6" s="138">
        <f>Input!F8*'Generelle antagelser'!$D$15*Indsatsen!$D$10</f>
        <v>1120492.8</v>
      </c>
      <c r="J6" s="134"/>
      <c r="K6" s="134"/>
      <c r="L6" s="134"/>
      <c r="M6" s="119"/>
    </row>
    <row r="7" spans="1:22" s="109" customFormat="1" ht="11.4" x14ac:dyDescent="0.2">
      <c r="A7" s="135"/>
      <c r="B7" s="29" t="s">
        <v>52</v>
      </c>
      <c r="C7" s="115" t="s">
        <v>72</v>
      </c>
      <c r="D7" s="142">
        <f t="shared" ref="D7:D11" si="1">AVERAGE(G7:I7)</f>
        <v>97392</v>
      </c>
      <c r="E7" s="133"/>
      <c r="F7" s="143">
        <f t="shared" si="0"/>
        <v>7.1774879300023242E-2</v>
      </c>
      <c r="G7" s="138">
        <f>Input!D10*'Generelle antagelser'!$D$19*Indsatsen!$D$10</f>
        <v>0</v>
      </c>
      <c r="H7" s="138">
        <f>Input!E10*'Generelle antagelser'!$D$19*Indsatsen!$D$10</f>
        <v>292176</v>
      </c>
      <c r="I7" s="138">
        <f>Input!F10*'Generelle antagelser'!$D$19*Indsatsen!$D$10</f>
        <v>0</v>
      </c>
      <c r="J7" s="134"/>
      <c r="K7" s="134"/>
      <c r="L7" s="134"/>
      <c r="M7" s="119"/>
    </row>
    <row r="8" spans="1:22" s="109" customFormat="1" ht="11.4" x14ac:dyDescent="0.2">
      <c r="A8" s="135"/>
      <c r="B8" s="29" t="s">
        <v>53</v>
      </c>
      <c r="C8" s="115" t="s">
        <v>72</v>
      </c>
      <c r="D8" s="142">
        <f t="shared" si="1"/>
        <v>173511.89189189186</v>
      </c>
      <c r="E8" s="133"/>
      <c r="F8" s="143">
        <f t="shared" si="0"/>
        <v>0.12787287557149685</v>
      </c>
      <c r="G8" s="138">
        <f>Input!D12*'Generelle antagelser'!$D$23*Indsatsen!$D$10</f>
        <v>233075.67567567565</v>
      </c>
      <c r="H8" s="138">
        <f>Input!E12*'Generelle antagelser'!$D$23*Indsatsen!$D$10</f>
        <v>0</v>
      </c>
      <c r="I8" s="138">
        <f>Input!F12*'Generelle antagelser'!$D$23*Indsatsen!$D$10</f>
        <v>287459.99999999994</v>
      </c>
      <c r="J8" s="134"/>
      <c r="K8" s="134"/>
      <c r="L8" s="134"/>
      <c r="M8" s="119"/>
    </row>
    <row r="9" spans="1:22" s="109" customFormat="1" ht="11.4" x14ac:dyDescent="0.2">
      <c r="A9" s="135"/>
      <c r="B9" s="11" t="s">
        <v>54</v>
      </c>
      <c r="C9" s="115" t="s">
        <v>72</v>
      </c>
      <c r="D9" s="142">
        <f t="shared" si="1"/>
        <v>163770.16216216213</v>
      </c>
      <c r="E9" s="133"/>
      <c r="F9" s="143">
        <f t="shared" si="0"/>
        <v>0.12069352330924943</v>
      </c>
      <c r="G9" s="138">
        <f>Input!D14*'Generelle antagelser'!$D$27*Indsatsen!$D$10</f>
        <v>32217.081081081076</v>
      </c>
      <c r="H9" s="138">
        <f>Input!E14*'Generelle antagelser'!$D$27*Indsatsen!$D$10</f>
        <v>161085.40540540538</v>
      </c>
      <c r="I9" s="138">
        <f>Input!F14*'Generelle antagelser'!$D$27*Indsatsen!$D$10</f>
        <v>298007.99999999994</v>
      </c>
      <c r="J9" s="134"/>
      <c r="K9" s="134"/>
      <c r="L9" s="134"/>
      <c r="M9" s="119"/>
    </row>
    <row r="10" spans="1:22" s="109" customFormat="1" ht="11.4" x14ac:dyDescent="0.2">
      <c r="A10" s="135"/>
      <c r="B10" s="29" t="s">
        <v>55</v>
      </c>
      <c r="C10" s="115" t="s">
        <v>72</v>
      </c>
      <c r="D10" s="142">
        <f t="shared" si="1"/>
        <v>91139.545945945953</v>
      </c>
      <c r="E10" s="133"/>
      <c r="F10" s="143">
        <f t="shared" si="0"/>
        <v>6.7167014844434797E-2</v>
      </c>
      <c r="G10" s="138">
        <f>Input!D16*'Generelle antagelser'!$D$31*Indsatsen!$D$10</f>
        <v>273418.63783783786</v>
      </c>
      <c r="H10" s="138">
        <f>Input!E16*'Generelle antagelser'!$D$31*Indsatsen!$D$10</f>
        <v>0</v>
      </c>
      <c r="I10" s="138">
        <f>Input!F16*'Generelle antagelser'!$D$31*Indsatsen!$D$10</f>
        <v>0</v>
      </c>
      <c r="J10" s="134"/>
      <c r="K10" s="134"/>
      <c r="L10" s="134"/>
      <c r="M10" s="119"/>
    </row>
    <row r="11" spans="1:22" s="109" customFormat="1" ht="11.4" x14ac:dyDescent="0.2">
      <c r="A11" s="135"/>
      <c r="B11" s="11" t="s">
        <v>56</v>
      </c>
      <c r="C11" s="115" t="s">
        <v>72</v>
      </c>
      <c r="D11" s="142">
        <f t="shared" si="1"/>
        <v>141571.89189189186</v>
      </c>
      <c r="E11" s="133"/>
      <c r="F11" s="143">
        <f t="shared" si="0"/>
        <v>0.10433408753097254</v>
      </c>
      <c r="G11" s="138">
        <v>0</v>
      </c>
      <c r="H11" s="138">
        <f>Input!E18*'Generelle antagelser'!D23*Indsatsen!D10</f>
        <v>233075.67567567565</v>
      </c>
      <c r="I11" s="138">
        <f>Input!F18*'Generelle antagelser'!D23*Indsatsen!D10</f>
        <v>191640</v>
      </c>
      <c r="J11" s="134"/>
      <c r="K11" s="134"/>
      <c r="L11" s="134"/>
      <c r="M11" s="119"/>
    </row>
    <row r="12" spans="1:22" s="109" customFormat="1" ht="11.4" x14ac:dyDescent="0.2">
      <c r="A12" s="135"/>
      <c r="C12" s="115"/>
      <c r="D12" s="142"/>
      <c r="E12" s="133"/>
      <c r="F12" s="110"/>
      <c r="G12" s="138"/>
      <c r="H12" s="134"/>
      <c r="I12" s="134"/>
      <c r="J12" s="134"/>
      <c r="K12" s="134"/>
      <c r="L12" s="134"/>
      <c r="M12" s="119"/>
    </row>
    <row r="13" spans="1:22" s="109" customFormat="1" ht="11.4" x14ac:dyDescent="0.2">
      <c r="A13" s="135"/>
      <c r="B13" s="137" t="s">
        <v>73</v>
      </c>
      <c r="C13" s="115" t="s">
        <v>72</v>
      </c>
      <c r="D13" s="142">
        <f>AVERAGE(G13:I13)</f>
        <v>10666.666666666666</v>
      </c>
      <c r="E13" s="133"/>
      <c r="F13" s="110"/>
      <c r="G13" s="138">
        <f>SUM(Input!D23:D25)</f>
        <v>0</v>
      </c>
      <c r="H13" s="138">
        <f>SUM(Input!E23:E25)</f>
        <v>0</v>
      </c>
      <c r="I13" s="138">
        <f>SUM(Input!F23:F25)</f>
        <v>32000</v>
      </c>
      <c r="J13" s="134"/>
      <c r="K13" s="134"/>
      <c r="L13" s="134"/>
      <c r="M13" s="119"/>
    </row>
    <row r="14" spans="1:22" s="109" customFormat="1" ht="11.4" x14ac:dyDescent="0.2">
      <c r="A14" s="135"/>
      <c r="B14" s="151" t="s">
        <v>74</v>
      </c>
      <c r="C14" s="117" t="s">
        <v>72</v>
      </c>
      <c r="D14" s="152">
        <f>SUM(D6:D11)</f>
        <v>1346242.616216216</v>
      </c>
      <c r="E14" s="127">
        <f>MROUND(D14,1000)</f>
        <v>1346000</v>
      </c>
      <c r="F14" s="153"/>
      <c r="G14" s="154"/>
      <c r="H14" s="154"/>
      <c r="I14" s="154"/>
      <c r="J14" s="154"/>
      <c r="K14" s="154"/>
      <c r="L14" s="134"/>
      <c r="M14" s="119"/>
    </row>
    <row r="15" spans="1:22" s="109" customFormat="1" ht="11.4" x14ac:dyDescent="0.2">
      <c r="A15" s="135"/>
      <c r="B15" s="116" t="s">
        <v>75</v>
      </c>
      <c r="C15" s="117" t="s">
        <v>72</v>
      </c>
      <c r="D15" s="127">
        <f>SUM(D6:D13)</f>
        <v>1356909.2828828827</v>
      </c>
      <c r="E15" s="127">
        <f>MROUND(D15,1000)</f>
        <v>1357000</v>
      </c>
      <c r="F15" s="130"/>
      <c r="G15" s="118">
        <f>MROUND(SUM(G6:G13),1000)</f>
        <v>1175000</v>
      </c>
      <c r="H15" s="118">
        <f>MROUND(SUM(H6:H13),1000)</f>
        <v>966000</v>
      </c>
      <c r="I15" s="118">
        <f>MROUND(SUM(I6:I13),1000)</f>
        <v>1930000</v>
      </c>
      <c r="J15" s="118"/>
      <c r="K15" s="118"/>
      <c r="L15" s="134"/>
      <c r="M15" s="119"/>
    </row>
    <row r="16" spans="1:22" s="109" customFormat="1" ht="12" thickBot="1" x14ac:dyDescent="0.25">
      <c r="A16" s="135"/>
      <c r="B16" s="120" t="s">
        <v>76</v>
      </c>
      <c r="C16" s="121" t="s">
        <v>72</v>
      </c>
      <c r="D16" s="128">
        <f>D15/Indsatsen!E17</f>
        <v>104377.63714483714</v>
      </c>
      <c r="E16" s="128">
        <f>MROUND(D16,1000)</f>
        <v>104000</v>
      </c>
      <c r="F16" s="129"/>
      <c r="G16" s="122">
        <f>MROUND(G15/Indsatsen!E14,1000)</f>
        <v>78000</v>
      </c>
      <c r="H16" s="122">
        <f>MROUND(H15/Indsatsen!E15,1000)</f>
        <v>121000</v>
      </c>
      <c r="I16" s="122">
        <f>MROUND(I15/Indsatsen!E16,1000)</f>
        <v>121000</v>
      </c>
      <c r="J16" s="122"/>
      <c r="K16" s="200"/>
      <c r="L16" s="134"/>
      <c r="M16" s="119"/>
    </row>
    <row r="17" spans="1:13" s="109" customFormat="1" ht="11.4" x14ac:dyDescent="0.2">
      <c r="A17" s="135"/>
      <c r="B17" s="135"/>
      <c r="C17" s="136"/>
      <c r="D17" s="134"/>
      <c r="E17" s="134"/>
      <c r="F17" s="135"/>
      <c r="G17" s="134"/>
      <c r="H17" s="134"/>
      <c r="I17" s="134"/>
      <c r="J17" s="134"/>
      <c r="K17" s="134"/>
      <c r="L17" s="134"/>
      <c r="M17" s="119"/>
    </row>
    <row r="18" spans="1:13" s="109" customFormat="1" ht="11.4" x14ac:dyDescent="0.2">
      <c r="A18" s="135"/>
      <c r="B18" s="135"/>
      <c r="C18" s="136"/>
      <c r="D18" s="134"/>
      <c r="E18" s="134"/>
      <c r="F18" s="135"/>
      <c r="G18" s="134"/>
      <c r="H18" s="134"/>
      <c r="I18" s="134"/>
      <c r="J18" s="134"/>
      <c r="K18" s="134"/>
      <c r="L18" s="134"/>
      <c r="M18" s="119"/>
    </row>
    <row r="19" spans="1:13" ht="11.4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</row>
    <row r="20" spans="1:13" ht="11.4" x14ac:dyDescent="0.2">
      <c r="B20" s="109" t="s">
        <v>77</v>
      </c>
      <c r="G20" s="109" t="s">
        <v>78</v>
      </c>
    </row>
    <row r="21" spans="1:13" ht="11.4" x14ac:dyDescent="0.2"/>
    <row r="22" spans="1:13" ht="11.4" x14ac:dyDescent="0.2"/>
    <row r="23" spans="1:13" ht="11.4" x14ac:dyDescent="0.2"/>
    <row r="24" spans="1:13" ht="11.4" x14ac:dyDescent="0.2"/>
    <row r="25" spans="1:13" ht="11.4" x14ac:dyDescent="0.2"/>
    <row r="26" spans="1:13" ht="11.4" x14ac:dyDescent="0.2"/>
    <row r="27" spans="1:13" ht="11.4" x14ac:dyDescent="0.2"/>
    <row r="28" spans="1:13" ht="11.4" x14ac:dyDescent="0.2">
      <c r="G28" s="123"/>
    </row>
    <row r="29" spans="1:13" ht="11.4" x14ac:dyDescent="0.2"/>
    <row r="30" spans="1:13" ht="11.4" x14ac:dyDescent="0.2"/>
    <row r="31" spans="1:13" ht="11.4" x14ac:dyDescent="0.2"/>
    <row r="32" spans="1:13" ht="11.4" x14ac:dyDescent="0.2"/>
    <row r="33" spans="2:12" ht="11.4" x14ac:dyDescent="0.2"/>
    <row r="34" spans="2:12" ht="11.4" x14ac:dyDescent="0.2"/>
    <row r="35" spans="2:12" ht="11.4" x14ac:dyDescent="0.2"/>
    <row r="36" spans="2:12" ht="11.4" x14ac:dyDescent="0.2"/>
    <row r="37" spans="2:12" ht="11.4" x14ac:dyDescent="0.2"/>
    <row r="38" spans="2:12" ht="11.4" x14ac:dyDescent="0.2"/>
    <row r="39" spans="2:12" ht="11.4" x14ac:dyDescent="0.2"/>
    <row r="40" spans="2:12" ht="11.4" x14ac:dyDescent="0.2"/>
    <row r="41" spans="2:12" s="109" customFormat="1" ht="11.4" x14ac:dyDescent="0.2">
      <c r="B41" s="94" t="s">
        <v>79</v>
      </c>
      <c r="C41" s="108"/>
      <c r="D41" s="108"/>
      <c r="E41" s="108"/>
      <c r="F41" s="107"/>
      <c r="G41" s="107"/>
      <c r="H41" s="107"/>
      <c r="I41" s="107"/>
      <c r="J41" s="107"/>
      <c r="K41" s="107"/>
      <c r="L41" s="107"/>
    </row>
    <row r="42" spans="2:12" s="214" customFormat="1" ht="11.4" x14ac:dyDescent="0.2">
      <c r="C42" s="215"/>
      <c r="D42" s="215"/>
      <c r="E42" s="215"/>
    </row>
    <row r="43" spans="2:12" ht="11.4" x14ac:dyDescent="0.2">
      <c r="F43" s="219" t="s">
        <v>123</v>
      </c>
      <c r="G43" s="220"/>
    </row>
    <row r="44" spans="2:12" ht="11.4" x14ac:dyDescent="0.2">
      <c r="B44" s="124" t="s">
        <v>80</v>
      </c>
      <c r="C44" s="124" t="s">
        <v>81</v>
      </c>
      <c r="D44" s="124" t="s">
        <v>82</v>
      </c>
      <c r="E44" s="137"/>
      <c r="F44" s="216" t="s">
        <v>81</v>
      </c>
      <c r="G44" s="216" t="s">
        <v>82</v>
      </c>
    </row>
    <row r="45" spans="2:12" ht="11.4" x14ac:dyDescent="0.2">
      <c r="B45" s="156" t="s">
        <v>121</v>
      </c>
      <c r="C45" s="157">
        <f>C46*0.8+$D$13</f>
        <v>1096194.0929729729</v>
      </c>
      <c r="D45" s="157">
        <f>D46*0.9</f>
        <v>93939.873430353429</v>
      </c>
      <c r="E45" s="150"/>
      <c r="F45" s="157">
        <f t="shared" ref="F45:G48" si="2">MROUND(C45,1000)</f>
        <v>1096000</v>
      </c>
      <c r="G45" s="157">
        <f t="shared" si="2"/>
        <v>94000</v>
      </c>
      <c r="H45" s="149"/>
      <c r="I45" s="155"/>
    </row>
    <row r="46" spans="2:12" ht="11.4" x14ac:dyDescent="0.2">
      <c r="B46" s="126" t="s">
        <v>83</v>
      </c>
      <c r="C46" s="125">
        <f>D14+D13</f>
        <v>1356909.2828828827</v>
      </c>
      <c r="D46" s="125">
        <f>C46/Indsatsen!E17</f>
        <v>104377.63714483714</v>
      </c>
      <c r="E46" s="150"/>
      <c r="F46" s="125">
        <f t="shared" si="2"/>
        <v>1357000</v>
      </c>
      <c r="G46" s="125">
        <f t="shared" si="2"/>
        <v>104000</v>
      </c>
      <c r="H46" s="149"/>
      <c r="I46" s="155"/>
    </row>
    <row r="47" spans="2:12" ht="11.4" x14ac:dyDescent="0.2">
      <c r="B47" s="156" t="s">
        <v>84</v>
      </c>
      <c r="C47" s="157">
        <f>C46*1.1+$D$13</f>
        <v>1503266.8778378379</v>
      </c>
      <c r="D47" s="157">
        <f>D46*1.1</f>
        <v>114815.40085932086</v>
      </c>
      <c r="E47" s="150"/>
      <c r="F47" s="157">
        <f t="shared" si="2"/>
        <v>1503000</v>
      </c>
      <c r="G47" s="157">
        <f t="shared" si="2"/>
        <v>115000</v>
      </c>
      <c r="H47" s="149"/>
      <c r="I47" s="155"/>
    </row>
    <row r="48" spans="2:12" ht="11.4" x14ac:dyDescent="0.2">
      <c r="B48" s="156" t="s">
        <v>85</v>
      </c>
      <c r="C48" s="157">
        <f>C46*1.2+D13</f>
        <v>1638957.8061261261</v>
      </c>
      <c r="D48" s="157">
        <f>D46*1.2</f>
        <v>125253.16457380456</v>
      </c>
      <c r="E48" s="150"/>
      <c r="F48" s="157">
        <f t="shared" si="2"/>
        <v>1639000</v>
      </c>
      <c r="G48" s="157">
        <f t="shared" si="2"/>
        <v>125000</v>
      </c>
      <c r="H48" s="149"/>
      <c r="I48" s="155"/>
    </row>
    <row r="49" spans="2:12" ht="11.4" x14ac:dyDescent="0.2">
      <c r="I49" s="155"/>
    </row>
    <row r="50" spans="2:12" ht="45.6" x14ac:dyDescent="0.2">
      <c r="B50" s="124" t="s">
        <v>86</v>
      </c>
      <c r="C50" s="213" t="s">
        <v>87</v>
      </c>
      <c r="D50" s="213" t="s">
        <v>88</v>
      </c>
      <c r="E50" s="137"/>
      <c r="G50" s="213" t="s">
        <v>88</v>
      </c>
    </row>
    <row r="51" spans="2:12" ht="11.4" x14ac:dyDescent="0.2">
      <c r="B51" s="158" t="s">
        <v>119</v>
      </c>
      <c r="C51" s="159">
        <f>D16*8</f>
        <v>835021.09715869708</v>
      </c>
      <c r="D51" s="157">
        <f>D15/8</f>
        <v>169613.66036036034</v>
      </c>
      <c r="E51" s="150"/>
      <c r="G51" s="157">
        <f>MROUND(D51,1000)</f>
        <v>170000</v>
      </c>
    </row>
    <row r="52" spans="2:12" ht="11.4" x14ac:dyDescent="0.2">
      <c r="B52" s="158" t="s">
        <v>89</v>
      </c>
      <c r="C52" s="159">
        <f>D16*13</f>
        <v>1356909.2828828827</v>
      </c>
      <c r="D52" s="157">
        <f>D15/13</f>
        <v>104377.63714483714</v>
      </c>
      <c r="E52" s="150"/>
      <c r="G52" s="157">
        <f>MROUND(D52,1000)</f>
        <v>104000</v>
      </c>
    </row>
    <row r="53" spans="2:12" ht="11.4" x14ac:dyDescent="0.2">
      <c r="B53" s="158" t="s">
        <v>120</v>
      </c>
      <c r="C53" s="159">
        <f>D16*16</f>
        <v>1670042.1943173942</v>
      </c>
      <c r="D53" s="157">
        <f>D15/16</f>
        <v>84806.830180180172</v>
      </c>
      <c r="E53" s="150"/>
      <c r="G53" s="157">
        <f>MROUND(D53,1000)</f>
        <v>85000</v>
      </c>
    </row>
    <row r="54" spans="2:12" ht="11.4" x14ac:dyDescent="0.2"/>
    <row r="55" spans="2:12" ht="11.4" x14ac:dyDescent="0.2">
      <c r="B55" s="115" t="s">
        <v>90</v>
      </c>
    </row>
    <row r="56" spans="2:12" ht="11.4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2:12" ht="11.4" x14ac:dyDescent="0.2"/>
    <row r="58" spans="2:12" ht="11.4" x14ac:dyDescent="0.2"/>
    <row r="59" spans="2:12" ht="11.4" x14ac:dyDescent="0.2"/>
    <row r="60" spans="2:12" ht="11.4" x14ac:dyDescent="0.2"/>
    <row r="61" spans="2:12" ht="11.4" x14ac:dyDescent="0.2"/>
    <row r="62" spans="2:12" ht="11.4" x14ac:dyDescent="0.2"/>
    <row r="63" spans="2:12" ht="11.4" x14ac:dyDescent="0.2"/>
    <row r="64" spans="2:12" ht="11.4" x14ac:dyDescent="0.2"/>
    <row r="65" ht="11.4" x14ac:dyDescent="0.2"/>
    <row r="66" ht="11.4" x14ac:dyDescent="0.2"/>
    <row r="67" ht="11.4" x14ac:dyDescent="0.2"/>
    <row r="68" ht="11.4" x14ac:dyDescent="0.2"/>
  </sheetData>
  <mergeCells count="1">
    <mergeCell ref="F43:G4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GridLines="0" zoomScaleNormal="100" workbookViewId="0">
      <selection activeCell="J2" sqref="J2"/>
    </sheetView>
  </sheetViews>
  <sheetFormatPr defaultColWidth="0" defaultRowHeight="0" customHeight="1" zeroHeight="1" x14ac:dyDescent="0.2"/>
  <cols>
    <col min="1" max="1" width="2.5546875" style="22" customWidth="1"/>
    <col min="2" max="2" width="27.5546875" style="22" customWidth="1"/>
    <col min="3" max="3" width="11.88671875" style="22" customWidth="1"/>
    <col min="4" max="4" width="18.6640625" style="22" customWidth="1"/>
    <col min="5" max="10" width="16.6640625" style="22" customWidth="1"/>
    <col min="11" max="11" width="13.109375" style="22" customWidth="1"/>
    <col min="12" max="12" width="19.5546875" style="22" customWidth="1"/>
    <col min="13" max="13" width="11.109375" style="22" hidden="1" customWidth="1"/>
    <col min="14" max="22" width="0" style="22" hidden="1" customWidth="1"/>
    <col min="23" max="16384" width="0" style="22" hidden="1"/>
  </cols>
  <sheetData>
    <row r="1" spans="1:22" ht="19.5" customHeight="1" x14ac:dyDescent="0.3">
      <c r="B1" s="105" t="s">
        <v>67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1:22" ht="23.25" customHeight="1" x14ac:dyDescent="0.2">
      <c r="B2" s="28" t="s">
        <v>124</v>
      </c>
      <c r="C2" s="106"/>
      <c r="D2" s="106"/>
      <c r="E2" s="106"/>
      <c r="F2" s="106"/>
      <c r="G2" s="106"/>
      <c r="H2" s="106"/>
      <c r="I2" s="106"/>
      <c r="J2" s="6" t="s">
        <v>6</v>
      </c>
      <c r="K2" s="106"/>
    </row>
    <row r="3" spans="1:22" s="109" customFormat="1" ht="11.4" x14ac:dyDescent="0.2">
      <c r="A3" s="135"/>
      <c r="B3" s="135"/>
      <c r="C3" s="136"/>
      <c r="D3" s="134"/>
      <c r="E3" s="134"/>
      <c r="F3" s="135"/>
      <c r="G3" s="134"/>
      <c r="H3" s="134"/>
      <c r="I3" s="134"/>
      <c r="J3" s="134"/>
      <c r="K3" s="134"/>
      <c r="L3" s="134"/>
      <c r="M3" s="119"/>
    </row>
    <row r="4" spans="1:22" s="109" customFormat="1" ht="11.4" x14ac:dyDescent="0.2">
      <c r="A4" s="135"/>
      <c r="B4" s="94" t="s">
        <v>68</v>
      </c>
      <c r="C4" s="131"/>
      <c r="D4" s="131"/>
      <c r="E4" s="131"/>
      <c r="F4" s="94"/>
      <c r="G4" s="94"/>
      <c r="H4" s="94"/>
      <c r="I4" s="94"/>
      <c r="J4" s="94"/>
      <c r="K4" s="94"/>
      <c r="L4" s="134"/>
      <c r="M4" s="119"/>
    </row>
    <row r="5" spans="1:22" ht="13.8" x14ac:dyDescent="0.25">
      <c r="B5" s="110"/>
      <c r="C5" s="140"/>
      <c r="D5" s="160"/>
      <c r="E5" s="160" t="s">
        <v>91</v>
      </c>
      <c r="F5" s="160" t="s">
        <v>92</v>
      </c>
      <c r="G5" s="161" t="s">
        <v>93</v>
      </c>
      <c r="H5" s="162" t="s">
        <v>94</v>
      </c>
      <c r="I5" s="162" t="s">
        <v>95</v>
      </c>
      <c r="J5" s="162" t="s">
        <v>96</v>
      </c>
      <c r="K5" s="111"/>
      <c r="L5" s="112"/>
      <c r="M5" s="23"/>
      <c r="N5" s="113"/>
      <c r="O5" s="113"/>
      <c r="P5" s="113"/>
      <c r="Q5" s="113"/>
      <c r="R5" s="113"/>
      <c r="S5" s="113"/>
      <c r="T5" s="114"/>
      <c r="U5" s="114"/>
      <c r="V5" s="23"/>
    </row>
    <row r="6" spans="1:22" s="109" customFormat="1" ht="68.400000000000006" x14ac:dyDescent="0.2">
      <c r="A6" s="135"/>
      <c r="B6" s="175" t="s">
        <v>97</v>
      </c>
      <c r="C6" s="176" t="s">
        <v>98</v>
      </c>
      <c r="D6" s="177"/>
      <c r="E6" s="178" t="s">
        <v>99</v>
      </c>
      <c r="F6" s="179" t="s">
        <v>100</v>
      </c>
      <c r="G6" s="178" t="s">
        <v>101</v>
      </c>
      <c r="H6" s="178" t="s">
        <v>102</v>
      </c>
      <c r="I6" s="178" t="s">
        <v>103</v>
      </c>
      <c r="J6" s="178" t="s">
        <v>104</v>
      </c>
      <c r="K6" s="174"/>
      <c r="L6" s="134"/>
      <c r="M6" s="119"/>
    </row>
    <row r="7" spans="1:22" s="109" customFormat="1" ht="11.4" x14ac:dyDescent="0.2">
      <c r="A7" s="135"/>
      <c r="B7" s="29"/>
      <c r="C7" s="115"/>
      <c r="D7" s="138"/>
      <c r="E7" s="204"/>
      <c r="F7" s="165"/>
      <c r="G7" s="138"/>
      <c r="H7" s="201"/>
      <c r="I7" s="201"/>
      <c r="J7" s="204"/>
      <c r="K7" s="134"/>
      <c r="L7" s="134"/>
      <c r="M7" s="119"/>
    </row>
    <row r="8" spans="1:22" s="109" customFormat="1" ht="11.4" x14ac:dyDescent="0.2">
      <c r="A8" s="135"/>
      <c r="B8" s="61" t="s">
        <v>105</v>
      </c>
      <c r="C8" s="115"/>
      <c r="D8" s="138"/>
      <c r="E8" s="201">
        <v>-95036.338899131719</v>
      </c>
      <c r="F8" s="165">
        <v>-88382.600283158274</v>
      </c>
      <c r="G8" s="138">
        <v>-74421.057111494243</v>
      </c>
      <c r="H8" s="201">
        <v>-47010.048668079195</v>
      </c>
      <c r="I8" s="201">
        <v>-5271.040160936941</v>
      </c>
      <c r="J8" s="201">
        <v>7749.6290844029772</v>
      </c>
      <c r="K8" s="134"/>
      <c r="L8" s="134"/>
      <c r="M8" s="119"/>
    </row>
    <row r="9" spans="1:22" s="109" customFormat="1" ht="11.4" x14ac:dyDescent="0.2">
      <c r="A9" s="135"/>
      <c r="B9" s="29"/>
      <c r="C9" s="115"/>
      <c r="D9" s="138"/>
      <c r="E9" s="205"/>
      <c r="F9" s="205"/>
      <c r="H9" s="201"/>
      <c r="I9" s="205"/>
      <c r="J9" s="201"/>
      <c r="K9" s="134"/>
      <c r="L9" s="134"/>
      <c r="M9" s="119"/>
    </row>
    <row r="10" spans="1:22" s="109" customFormat="1" ht="11.4" x14ac:dyDescent="0.2">
      <c r="A10" s="135"/>
      <c r="B10" s="167" t="s">
        <v>106</v>
      </c>
      <c r="C10" s="168"/>
      <c r="D10" s="169"/>
      <c r="E10" s="206"/>
      <c r="F10" s="206"/>
      <c r="G10" s="116"/>
      <c r="H10" s="202"/>
      <c r="I10" s="206"/>
      <c r="J10" s="202"/>
      <c r="K10" s="163"/>
      <c r="L10" s="134"/>
      <c r="M10" s="119"/>
    </row>
    <row r="11" spans="1:22" s="109" customFormat="1" ht="11.4" x14ac:dyDescent="0.2">
      <c r="A11" s="135"/>
      <c r="B11" s="86" t="s">
        <v>107</v>
      </c>
      <c r="C11" s="115"/>
      <c r="D11" s="138"/>
      <c r="E11" s="201">
        <v>-98772.57257024826</v>
      </c>
      <c r="F11" s="165">
        <v>-94061.017573875739</v>
      </c>
      <c r="G11" s="138">
        <v>-93484.863760178996</v>
      </c>
      <c r="H11" s="201">
        <v>-79100.835530955737</v>
      </c>
      <c r="I11" s="207">
        <v>-54914.706440239053</v>
      </c>
      <c r="J11" s="201">
        <v>-40535.994501661873</v>
      </c>
      <c r="K11" s="134"/>
      <c r="L11" s="134"/>
      <c r="M11" s="119"/>
    </row>
    <row r="12" spans="1:22" s="109" customFormat="1" ht="11.4" x14ac:dyDescent="0.2">
      <c r="A12" s="135"/>
      <c r="B12" s="57" t="s">
        <v>108</v>
      </c>
      <c r="C12" s="115"/>
      <c r="D12" s="138"/>
      <c r="E12" s="201">
        <v>3736.2336711165453</v>
      </c>
      <c r="F12" s="165">
        <v>4874.2504214268938</v>
      </c>
      <c r="G12" s="138">
        <v>15063.157293579725</v>
      </c>
      <c r="H12" s="201">
        <v>26780.829759152482</v>
      </c>
      <c r="I12" s="207">
        <v>48064.24073915233</v>
      </c>
      <c r="J12" s="201">
        <v>42649.385958875311</v>
      </c>
      <c r="K12" s="134"/>
      <c r="L12" s="134"/>
      <c r="M12" s="119"/>
    </row>
    <row r="13" spans="1:22" s="109" customFormat="1" ht="11.4" x14ac:dyDescent="0.2">
      <c r="A13" s="135"/>
      <c r="B13" s="170" t="s">
        <v>109</v>
      </c>
      <c r="C13" s="171"/>
      <c r="D13" s="172"/>
      <c r="E13" s="203">
        <v>0</v>
      </c>
      <c r="F13" s="173">
        <v>804.16686929057141</v>
      </c>
      <c r="G13" s="172">
        <v>4000.649355105028</v>
      </c>
      <c r="H13" s="203">
        <v>5309.9571037240621</v>
      </c>
      <c r="I13" s="203">
        <v>1579.4255401497821</v>
      </c>
      <c r="J13" s="203">
        <v>5636.2376271895391</v>
      </c>
      <c r="K13" s="174"/>
      <c r="L13" s="134"/>
      <c r="M13" s="119"/>
    </row>
    <row r="14" spans="1:22" s="109" customFormat="1" ht="11.4" x14ac:dyDescent="0.2">
      <c r="A14" s="135"/>
      <c r="B14" s="137"/>
      <c r="C14" s="115"/>
      <c r="D14" s="138"/>
      <c r="E14" s="204"/>
      <c r="F14" s="208"/>
      <c r="G14" s="138"/>
      <c r="H14" s="201"/>
      <c r="I14" s="201"/>
      <c r="J14" s="204"/>
      <c r="K14" s="134"/>
      <c r="L14" s="134"/>
      <c r="M14" s="119"/>
    </row>
    <row r="15" spans="1:22" s="109" customFormat="1" ht="11.4" x14ac:dyDescent="0.2">
      <c r="A15" s="135"/>
      <c r="B15" s="144" t="s">
        <v>110</v>
      </c>
      <c r="C15" s="115"/>
      <c r="D15" s="138"/>
      <c r="E15" s="204"/>
      <c r="F15" s="208"/>
      <c r="G15" s="138"/>
      <c r="H15" s="201"/>
      <c r="I15" s="201"/>
      <c r="J15" s="204"/>
      <c r="K15" s="134"/>
      <c r="L15" s="134"/>
      <c r="M15" s="119"/>
    </row>
    <row r="16" spans="1:22" s="109" customFormat="1" ht="11.4" x14ac:dyDescent="0.2">
      <c r="A16" s="135"/>
      <c r="B16" s="137" t="s">
        <v>105</v>
      </c>
      <c r="C16" s="115"/>
      <c r="D16" s="138"/>
      <c r="E16" s="201">
        <f>MROUND(E8,-100)</f>
        <v>-95000</v>
      </c>
      <c r="F16" s="201">
        <f t="shared" ref="F16:I16" si="0">MROUND(F8,-100)</f>
        <v>-88400</v>
      </c>
      <c r="G16" s="138">
        <f>MROUND(G8,-100)</f>
        <v>-74400</v>
      </c>
      <c r="H16" s="201">
        <f t="shared" si="0"/>
        <v>-47000</v>
      </c>
      <c r="I16" s="201">
        <f t="shared" si="0"/>
        <v>-5300</v>
      </c>
      <c r="J16" s="201">
        <f>MROUND(J8,100)</f>
        <v>7700</v>
      </c>
      <c r="K16" s="134"/>
      <c r="L16" s="134"/>
      <c r="M16" s="119"/>
    </row>
    <row r="17" spans="1:13" s="109" customFormat="1" ht="11.4" x14ac:dyDescent="0.2">
      <c r="A17" s="135"/>
      <c r="B17" s="144"/>
      <c r="C17" s="115"/>
      <c r="D17" s="138"/>
      <c r="E17" s="204"/>
      <c r="F17" s="208"/>
      <c r="G17" s="138"/>
      <c r="H17" s="201"/>
      <c r="I17" s="201"/>
      <c r="J17" s="204"/>
      <c r="K17" s="134"/>
      <c r="L17" s="134"/>
      <c r="M17" s="119"/>
    </row>
    <row r="18" spans="1:13" s="109" customFormat="1" ht="11.4" x14ac:dyDescent="0.2">
      <c r="A18" s="135"/>
      <c r="B18" s="86" t="s">
        <v>107</v>
      </c>
      <c r="C18" s="115"/>
      <c r="D18" s="138"/>
      <c r="E18" s="201">
        <f t="shared" ref="E18:J18" si="1">MROUND(E11,-100)</f>
        <v>-98800</v>
      </c>
      <c r="F18" s="201">
        <f t="shared" si="1"/>
        <v>-94100</v>
      </c>
      <c r="G18" s="138">
        <f>MROUND(G11,-100)</f>
        <v>-93500</v>
      </c>
      <c r="H18" s="201">
        <f t="shared" si="1"/>
        <v>-79100</v>
      </c>
      <c r="I18" s="201">
        <f t="shared" si="1"/>
        <v>-54900</v>
      </c>
      <c r="J18" s="201">
        <f t="shared" si="1"/>
        <v>-40500</v>
      </c>
      <c r="K18" s="134"/>
      <c r="L18" s="134"/>
      <c r="M18" s="119"/>
    </row>
    <row r="19" spans="1:13" s="109" customFormat="1" ht="11.4" x14ac:dyDescent="0.2">
      <c r="A19" s="135"/>
      <c r="B19" s="57" t="s">
        <v>108</v>
      </c>
      <c r="C19" s="180"/>
      <c r="D19" s="134"/>
      <c r="E19" s="201">
        <f t="shared" ref="E19:J20" si="2">MROUND(E12,100)</f>
        <v>3700</v>
      </c>
      <c r="F19" s="201">
        <f t="shared" si="2"/>
        <v>4900</v>
      </c>
      <c r="G19" s="138">
        <f>MROUND(G12,100)</f>
        <v>15100</v>
      </c>
      <c r="H19" s="201">
        <f t="shared" si="2"/>
        <v>26800</v>
      </c>
      <c r="I19" s="201">
        <f t="shared" si="2"/>
        <v>48100</v>
      </c>
      <c r="J19" s="201">
        <f t="shared" si="2"/>
        <v>42600</v>
      </c>
      <c r="K19" s="134"/>
      <c r="L19" s="134"/>
      <c r="M19" s="119"/>
    </row>
    <row r="20" spans="1:13" s="109" customFormat="1" ht="11.4" x14ac:dyDescent="0.2">
      <c r="A20" s="135"/>
      <c r="B20" s="170" t="s">
        <v>109</v>
      </c>
      <c r="C20" s="180"/>
      <c r="D20" s="134"/>
      <c r="E20" s="201">
        <f t="shared" si="2"/>
        <v>0</v>
      </c>
      <c r="F20" s="201">
        <f t="shared" si="2"/>
        <v>800</v>
      </c>
      <c r="G20" s="138">
        <f>MROUND(G13,100)</f>
        <v>4000</v>
      </c>
      <c r="H20" s="201">
        <f t="shared" si="2"/>
        <v>5300</v>
      </c>
      <c r="I20" s="201">
        <f t="shared" si="2"/>
        <v>1600</v>
      </c>
      <c r="J20" s="201">
        <f t="shared" si="2"/>
        <v>5600</v>
      </c>
      <c r="K20" s="119"/>
      <c r="L20" s="134"/>
      <c r="M20" s="119"/>
    </row>
    <row r="21" spans="1:13" s="109" customFormat="1" ht="12" thickBot="1" x14ac:dyDescent="0.25">
      <c r="A21" s="135"/>
      <c r="B21" s="120"/>
      <c r="C21" s="121"/>
      <c r="D21" s="164"/>
      <c r="E21" s="164"/>
      <c r="F21" s="166"/>
      <c r="G21" s="122"/>
      <c r="H21" s="122"/>
      <c r="I21" s="122"/>
      <c r="J21" s="122"/>
      <c r="K21" s="122"/>
      <c r="L21" s="134"/>
      <c r="M21" s="119"/>
    </row>
    <row r="22" spans="1:13" s="109" customFormat="1" ht="11.4" x14ac:dyDescent="0.2">
      <c r="A22" s="135"/>
      <c r="B22" s="135"/>
      <c r="C22" s="136"/>
      <c r="D22" s="134"/>
      <c r="E22" s="134"/>
      <c r="F22" s="135"/>
      <c r="G22" s="134"/>
      <c r="H22" s="134"/>
      <c r="I22" s="134"/>
      <c r="J22" s="134"/>
      <c r="K22" s="134"/>
      <c r="L22" s="134"/>
      <c r="M22" s="119"/>
    </row>
    <row r="23" spans="1:13" s="109" customFormat="1" ht="11.4" x14ac:dyDescent="0.2">
      <c r="A23" s="135"/>
      <c r="B23" s="135"/>
      <c r="C23" s="136"/>
      <c r="D23" s="134"/>
      <c r="E23" s="134"/>
      <c r="F23" s="135"/>
      <c r="G23" s="134"/>
      <c r="H23" s="134"/>
      <c r="I23" s="134"/>
      <c r="J23" s="134"/>
      <c r="K23" s="134"/>
      <c r="L23" s="134"/>
      <c r="M23" s="119"/>
    </row>
    <row r="24" spans="1:13" ht="11.4" x14ac:dyDescent="0.2">
      <c r="A24" s="137"/>
      <c r="B24" s="137"/>
      <c r="C24" s="137"/>
      <c r="D24" s="137"/>
      <c r="E24" s="137"/>
      <c r="G24" s="137"/>
      <c r="H24" s="137"/>
      <c r="I24" s="137"/>
      <c r="J24" s="137"/>
      <c r="K24" s="137"/>
      <c r="L24" s="137"/>
    </row>
    <row r="25" spans="1:13" ht="11.4" x14ac:dyDescent="0.2">
      <c r="B25" s="109" t="s">
        <v>77</v>
      </c>
      <c r="G25" s="109"/>
    </row>
    <row r="26" spans="1:13" ht="11.4" x14ac:dyDescent="0.2"/>
    <row r="27" spans="1:13" ht="11.4" x14ac:dyDescent="0.2"/>
    <row r="28" spans="1:13" ht="11.4" x14ac:dyDescent="0.2"/>
    <row r="29" spans="1:13" ht="11.4" x14ac:dyDescent="0.2"/>
    <row r="30" spans="1:13" ht="11.4" x14ac:dyDescent="0.2"/>
    <row r="31" spans="1:13" ht="11.4" x14ac:dyDescent="0.2"/>
    <row r="32" spans="1:13" ht="11.4" x14ac:dyDescent="0.2"/>
    <row r="33" spans="2:12" ht="11.4" x14ac:dyDescent="0.2">
      <c r="G33" s="123"/>
    </row>
    <row r="34" spans="2:12" ht="11.4" x14ac:dyDescent="0.2"/>
    <row r="35" spans="2:12" ht="11.4" x14ac:dyDescent="0.2"/>
    <row r="36" spans="2:12" ht="11.4" x14ac:dyDescent="0.2"/>
    <row r="37" spans="2:12" ht="11.4" x14ac:dyDescent="0.2"/>
    <row r="38" spans="2:12" ht="11.4" x14ac:dyDescent="0.2"/>
    <row r="39" spans="2:12" ht="11.4" x14ac:dyDescent="0.2"/>
    <row r="40" spans="2:12" ht="11.4" x14ac:dyDescent="0.2"/>
    <row r="41" spans="2:12" ht="11.4" x14ac:dyDescent="0.2"/>
    <row r="42" spans="2:12" ht="11.4" x14ac:dyDescent="0.2"/>
    <row r="43" spans="2:12" ht="11.4" x14ac:dyDescent="0.2"/>
    <row r="44" spans="2:12" ht="11.4" x14ac:dyDescent="0.2"/>
    <row r="45" spans="2:12" ht="11.4" x14ac:dyDescent="0.2"/>
    <row r="46" spans="2:12" ht="11.4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2:12" ht="11.4" x14ac:dyDescent="0.2"/>
    <row r="48" spans="2:12" ht="11.4" x14ac:dyDescent="0.2"/>
    <row r="49" ht="11.4" x14ac:dyDescent="0.2"/>
    <row r="50" ht="11.4" x14ac:dyDescent="0.2"/>
    <row r="51" ht="11.4" x14ac:dyDescent="0.2"/>
    <row r="52" ht="11.4" x14ac:dyDescent="0.2"/>
    <row r="53" ht="11.4" x14ac:dyDescent="0.2"/>
    <row r="54" ht="11.4" x14ac:dyDescent="0.2"/>
    <row r="55" ht="11.4" x14ac:dyDescent="0.2"/>
    <row r="56" ht="11.4" x14ac:dyDescent="0.2"/>
    <row r="57" ht="11.4" x14ac:dyDescent="0.2"/>
    <row r="58" ht="11.4" x14ac:dyDescent="0.2"/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77a4bd-f09d-457c-9aae-126f887f4a5d">
      <UserInfo>
        <DisplayName>Rasmus Bundsgaard Hyre</DisplayName>
        <AccountId>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3799A661CDF44BD7F43CAAE6CA309" ma:contentTypeVersion="6" ma:contentTypeDescription="Create a new document." ma:contentTypeScope="" ma:versionID="f9192702ef1ddef65cce67effe1909f5">
  <xsd:schema xmlns:xsd="http://www.w3.org/2001/XMLSchema" xmlns:xs="http://www.w3.org/2001/XMLSchema" xmlns:p="http://schemas.microsoft.com/office/2006/metadata/properties" xmlns:ns2="0629325a-2460-438d-8a8c-56a19a8e8151" xmlns:ns3="9f77a4bd-f09d-457c-9aae-126f887f4a5d" targetNamespace="http://schemas.microsoft.com/office/2006/metadata/properties" ma:root="true" ma:fieldsID="25fda5bcac2fff9155b7d8a5856f4fd3" ns2:_="" ns3:_="">
    <xsd:import namespace="0629325a-2460-438d-8a8c-56a19a8e8151"/>
    <xsd:import namespace="9f77a4bd-f09d-457c-9aae-126f887f4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9325a-2460-438d-8a8c-56a19a8e81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7a4bd-f09d-457c-9aae-126f887f4a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D75B6-40DE-4B83-9C8F-86FD4A97672E}">
  <ds:schemaRefs>
    <ds:schemaRef ds:uri="http://schemas.microsoft.com/office/2006/metadata/properties"/>
    <ds:schemaRef ds:uri="http://schemas.microsoft.com/office/infopath/2007/PartnerControls"/>
    <ds:schemaRef ds:uri="9f77a4bd-f09d-457c-9aae-126f887f4a5d"/>
  </ds:schemaRefs>
</ds:datastoreItem>
</file>

<file path=customXml/itemProps2.xml><?xml version="1.0" encoding="utf-8"?>
<ds:datastoreItem xmlns:ds="http://schemas.openxmlformats.org/officeDocument/2006/customXml" ds:itemID="{DFA4B67F-F973-4A4C-A029-F7D8EB845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29325a-2460-438d-8a8c-56a19a8e8151"/>
    <ds:schemaRef ds:uri="9f77a4bd-f09d-457c-9aae-126f887f4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8A0310-01C1-4CBD-872C-41599F3326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2</vt:i4>
      </vt:variant>
    </vt:vector>
  </HeadingPairs>
  <TitlesOfParts>
    <vt:vector size="8" baseType="lpstr">
      <vt:lpstr>Forside</vt:lpstr>
      <vt:lpstr>Indsatsen</vt:lpstr>
      <vt:lpstr>Generelle antagelser</vt:lpstr>
      <vt:lpstr>Input</vt:lpstr>
      <vt:lpstr>Resultater</vt:lpstr>
      <vt:lpstr>SØM</vt:lpstr>
      <vt:lpstr>SØM!antalkonsår</vt:lpstr>
      <vt:lpstr>SØM!dropnr_varighed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Højgård Thøgersen</dc:creator>
  <cp:keywords/>
  <dc:description/>
  <cp:lastModifiedBy>Esben Bjørn Christensen</cp:lastModifiedBy>
  <cp:revision/>
  <dcterms:created xsi:type="dcterms:W3CDTF">2022-07-05T07:25:25Z</dcterms:created>
  <dcterms:modified xsi:type="dcterms:W3CDTF">2023-07-03T11:37:09Z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0x010100E5C3799A661CDF44BD7F43CAAE6CA309</vt:lpwstr>
  </property>
</Properties>
</file>